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66925"/>
  <xr:revisionPtr revIDLastSave="11" documentId="13_ncr:1_{8EAE8232-4E7D-475A-9C8F-4E790A8B2399}" xr6:coauthVersionLast="47" xr6:coauthVersionMax="47" xr10:uidLastSave="{BE637058-AB9A-43DE-A964-48018FAE90D7}"/>
  <bookViews>
    <workbookView xWindow="57480" yWindow="-120" windowWidth="29040" windowHeight="15720" activeTab="1" xr2:uid="{9A9AA887-4F24-477D-B5A4-7C60E34A476C}"/>
  </bookViews>
  <sheets>
    <sheet name="NBRC株" sheetId="7" r:id="rId1"/>
    <sheet name="RD 株 " sheetId="13" r:id="rId2"/>
  </sheets>
  <definedNames>
    <definedName name="_xlnm._FilterDatabase" localSheetId="0" hidden="1">NBRC株!$B$2:$J$59</definedName>
    <definedName name="_xlnm._FilterDatabase" localSheetId="1" hidden="1">'RD 株 '!$A$3:$J$225</definedName>
    <definedName name="_xlnm.Print_Area" localSheetId="0">NBRC株!$A$1:$J$59</definedName>
    <definedName name="_xlnm.Print_Area" localSheetId="1">'RD 株 '!$A$1:$J$225</definedName>
    <definedName name="_xlnm.Print_Titles" localSheetId="0">NBRC株!$2:$2</definedName>
    <definedName name="_xlnm.Print_Titles" localSheetId="1">'RD 株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5" i="13" l="1"/>
  <c r="G225" i="13"/>
  <c r="J224" i="13"/>
  <c r="G224" i="13"/>
  <c r="J223" i="13"/>
  <c r="G223" i="13"/>
  <c r="J222" i="13"/>
  <c r="G222" i="13"/>
  <c r="J221" i="13"/>
  <c r="G221" i="13"/>
  <c r="J220" i="13"/>
  <c r="G220" i="13"/>
  <c r="J219" i="13"/>
  <c r="G219" i="13"/>
  <c r="J218" i="13"/>
  <c r="G218" i="13"/>
  <c r="J217" i="13"/>
  <c r="G217" i="13"/>
  <c r="J216" i="13"/>
  <c r="G216" i="13"/>
  <c r="J215" i="13"/>
  <c r="G215" i="13"/>
  <c r="J214" i="13"/>
  <c r="G214" i="13"/>
  <c r="J213" i="13"/>
  <c r="G213" i="13"/>
  <c r="J212" i="13"/>
  <c r="G212" i="13"/>
  <c r="J211" i="13"/>
  <c r="G211" i="13"/>
  <c r="J210" i="13"/>
  <c r="G210" i="13"/>
  <c r="J209" i="13"/>
  <c r="G209" i="13"/>
  <c r="J208" i="13"/>
  <c r="G208" i="13"/>
  <c r="J207" i="13"/>
  <c r="G207" i="13"/>
  <c r="J206" i="13"/>
  <c r="G206" i="13"/>
  <c r="J205" i="13"/>
  <c r="G205" i="13"/>
  <c r="J204" i="13"/>
  <c r="G204" i="13"/>
  <c r="J203" i="13"/>
  <c r="G203" i="13"/>
  <c r="J202" i="13"/>
  <c r="G202" i="13"/>
  <c r="J201" i="13"/>
  <c r="G201" i="13"/>
  <c r="J200" i="13"/>
  <c r="G200" i="13"/>
  <c r="J199" i="13"/>
  <c r="G199" i="13"/>
  <c r="J198" i="13"/>
  <c r="G198" i="13"/>
  <c r="J197" i="13"/>
  <c r="G197" i="13"/>
  <c r="J196" i="13"/>
  <c r="G196" i="13"/>
  <c r="J195" i="13"/>
  <c r="G195" i="13"/>
  <c r="J194" i="13"/>
  <c r="G194" i="13"/>
  <c r="J193" i="13"/>
  <c r="G193" i="13"/>
  <c r="J192" i="13"/>
  <c r="G192" i="13"/>
  <c r="J191" i="13"/>
  <c r="G191" i="13"/>
  <c r="J190" i="13"/>
  <c r="G190" i="13"/>
  <c r="J189" i="13"/>
  <c r="G189" i="13"/>
  <c r="J188" i="13"/>
  <c r="G188" i="13"/>
  <c r="J187" i="13"/>
  <c r="G187" i="13"/>
  <c r="J186" i="13"/>
  <c r="H186" i="13"/>
  <c r="G186" i="13"/>
  <c r="J185" i="13"/>
  <c r="H185" i="13"/>
  <c r="G185" i="13"/>
  <c r="J184" i="13"/>
  <c r="H184" i="13"/>
  <c r="G184" i="13"/>
  <c r="J183" i="13"/>
  <c r="G183" i="13"/>
  <c r="J182" i="13"/>
  <c r="H182" i="13"/>
  <c r="G182" i="13"/>
  <c r="J181" i="13"/>
  <c r="H181" i="13"/>
  <c r="G181" i="13"/>
  <c r="J180" i="13"/>
  <c r="H180" i="13"/>
  <c r="G180" i="13"/>
  <c r="J179" i="13"/>
  <c r="H179" i="13"/>
  <c r="G179" i="13"/>
  <c r="J178" i="13"/>
  <c r="H178" i="13"/>
  <c r="G178" i="13"/>
  <c r="J177" i="13"/>
  <c r="H177" i="13"/>
  <c r="G177" i="13"/>
  <c r="J176" i="13"/>
  <c r="H176" i="13"/>
  <c r="G176" i="13"/>
  <c r="J175" i="13"/>
  <c r="H175" i="13"/>
  <c r="G175" i="13"/>
  <c r="J174" i="13"/>
  <c r="H174" i="13"/>
  <c r="G174" i="13"/>
  <c r="J173" i="13"/>
  <c r="H173" i="13"/>
  <c r="G173" i="13"/>
  <c r="J172" i="13"/>
  <c r="H172" i="13"/>
  <c r="G172" i="13"/>
  <c r="J171" i="13"/>
  <c r="H171" i="13"/>
  <c r="G171" i="13"/>
  <c r="J170" i="13"/>
  <c r="H170" i="13"/>
  <c r="G170" i="13"/>
  <c r="J169" i="13"/>
  <c r="H169" i="13"/>
  <c r="G169" i="13"/>
  <c r="J168" i="13"/>
  <c r="H168" i="13"/>
  <c r="G168" i="13"/>
  <c r="J167" i="13"/>
  <c r="G167" i="13"/>
  <c r="J166" i="13"/>
  <c r="H166" i="13"/>
  <c r="G166" i="13"/>
  <c r="J165" i="13"/>
  <c r="H165" i="13"/>
  <c r="G165" i="13"/>
  <c r="J164" i="13"/>
  <c r="H164" i="13"/>
  <c r="G164" i="13"/>
  <c r="J163" i="13"/>
  <c r="H163" i="13"/>
  <c r="G163" i="13"/>
  <c r="J162" i="13"/>
  <c r="H162" i="13"/>
  <c r="G162" i="13"/>
  <c r="J161" i="13"/>
  <c r="H161" i="13"/>
  <c r="G161" i="13"/>
  <c r="J160" i="13"/>
  <c r="H160" i="13"/>
  <c r="G160" i="13"/>
  <c r="J159" i="13"/>
  <c r="H159" i="13"/>
  <c r="G159" i="13"/>
  <c r="J158" i="13"/>
  <c r="H158" i="13"/>
  <c r="G158" i="13"/>
  <c r="J157" i="13"/>
  <c r="H157" i="13"/>
  <c r="G157" i="13"/>
  <c r="J156" i="13"/>
  <c r="H156" i="13"/>
  <c r="G156" i="13"/>
  <c r="J155" i="13"/>
  <c r="H155" i="13"/>
  <c r="G155" i="13"/>
  <c r="J154" i="13"/>
  <c r="H154" i="13"/>
  <c r="G154" i="13"/>
  <c r="J153" i="13"/>
  <c r="H153" i="13"/>
  <c r="G153" i="13"/>
  <c r="J152" i="13"/>
  <c r="H152" i="13"/>
  <c r="G152" i="13"/>
  <c r="J151" i="13"/>
  <c r="H151" i="13"/>
  <c r="G151" i="13"/>
  <c r="J150" i="13"/>
  <c r="H150" i="13"/>
  <c r="G150" i="13"/>
  <c r="J149" i="13"/>
  <c r="G149" i="13"/>
  <c r="J148" i="13"/>
  <c r="H148" i="13"/>
  <c r="G148" i="13"/>
  <c r="J147" i="13"/>
  <c r="H147" i="13"/>
  <c r="G147" i="13"/>
  <c r="J146" i="13"/>
  <c r="H146" i="13"/>
  <c r="G146" i="13"/>
  <c r="J145" i="13"/>
  <c r="H145" i="13"/>
  <c r="G145" i="13"/>
  <c r="J144" i="13"/>
  <c r="H144" i="13"/>
  <c r="G144" i="13"/>
  <c r="J143" i="13"/>
  <c r="H143" i="13"/>
  <c r="G143" i="13"/>
  <c r="J142" i="13"/>
  <c r="H142" i="13"/>
  <c r="G142" i="13"/>
  <c r="J141" i="13"/>
  <c r="H141" i="13"/>
  <c r="G141" i="13"/>
  <c r="J140" i="13"/>
  <c r="H140" i="13"/>
  <c r="G140" i="13"/>
  <c r="J139" i="13"/>
  <c r="H139" i="13"/>
  <c r="G139" i="13"/>
  <c r="J138" i="13"/>
  <c r="H138" i="13"/>
  <c r="G138" i="13"/>
  <c r="J137" i="13"/>
  <c r="H137" i="13"/>
  <c r="G137" i="13"/>
  <c r="J136" i="13"/>
  <c r="H136" i="13"/>
  <c r="G136" i="13"/>
  <c r="J135" i="13"/>
  <c r="H135" i="13"/>
  <c r="G135" i="13"/>
  <c r="J134" i="13"/>
  <c r="H134" i="13"/>
  <c r="G134" i="13"/>
  <c r="J133" i="13"/>
  <c r="H133" i="13"/>
  <c r="G133" i="13"/>
  <c r="J132" i="13"/>
  <c r="H132" i="13"/>
  <c r="G132" i="13"/>
  <c r="J131" i="13"/>
  <c r="H131" i="13"/>
  <c r="G131" i="13"/>
  <c r="J130" i="13"/>
  <c r="H130" i="13"/>
  <c r="G130" i="13"/>
  <c r="J129" i="13"/>
  <c r="H129" i="13"/>
  <c r="G129" i="13"/>
  <c r="J128" i="13"/>
  <c r="H128" i="13"/>
  <c r="G128" i="13"/>
  <c r="J127" i="13"/>
  <c r="H127" i="13"/>
  <c r="G127" i="13"/>
  <c r="J126" i="13"/>
  <c r="H126" i="13"/>
  <c r="G126" i="13"/>
  <c r="J125" i="13"/>
  <c r="H125" i="13"/>
  <c r="G125" i="13"/>
  <c r="J124" i="13"/>
  <c r="G124" i="13"/>
  <c r="J123" i="13"/>
  <c r="G123" i="13"/>
  <c r="J122" i="13"/>
  <c r="H122" i="13"/>
  <c r="G122" i="13"/>
  <c r="J121" i="13"/>
  <c r="H121" i="13"/>
  <c r="G121" i="13"/>
  <c r="J120" i="13"/>
  <c r="H120" i="13"/>
  <c r="G120" i="13"/>
  <c r="J119" i="13"/>
  <c r="H119" i="13"/>
  <c r="G119" i="13"/>
  <c r="J118" i="13"/>
  <c r="H118" i="13"/>
  <c r="G118" i="13"/>
  <c r="J117" i="13"/>
  <c r="H117" i="13"/>
  <c r="G117" i="13"/>
  <c r="J116" i="13"/>
  <c r="G116" i="13"/>
  <c r="J115" i="13"/>
  <c r="H115" i="13"/>
  <c r="G115" i="13"/>
  <c r="J114" i="13"/>
  <c r="H114" i="13"/>
  <c r="G114" i="13"/>
  <c r="J113" i="13"/>
  <c r="H113" i="13"/>
  <c r="G113" i="13"/>
  <c r="J112" i="13"/>
  <c r="H112" i="13"/>
  <c r="G112" i="13"/>
  <c r="J111" i="13"/>
  <c r="H111" i="13"/>
  <c r="G111" i="13"/>
  <c r="J110" i="13"/>
  <c r="H110" i="13"/>
  <c r="G110" i="13"/>
  <c r="J109" i="13"/>
  <c r="H109" i="13"/>
  <c r="G109" i="13"/>
  <c r="J108" i="13"/>
  <c r="H108" i="13"/>
  <c r="G108" i="13"/>
  <c r="J107" i="13"/>
  <c r="H107" i="13"/>
  <c r="G107" i="13"/>
  <c r="J106" i="13"/>
  <c r="H106" i="13"/>
  <c r="G106" i="13"/>
  <c r="J105" i="13"/>
  <c r="H105" i="13"/>
  <c r="G105" i="13"/>
  <c r="J104" i="13"/>
  <c r="H104" i="13"/>
  <c r="G104" i="13"/>
  <c r="J103" i="13"/>
  <c r="H103" i="13"/>
  <c r="G103" i="13"/>
  <c r="J102" i="13"/>
  <c r="H102" i="13"/>
  <c r="G102" i="13"/>
  <c r="J101" i="13"/>
  <c r="H101" i="13"/>
  <c r="G101" i="13"/>
  <c r="J100" i="13"/>
  <c r="G100" i="13"/>
  <c r="J99" i="13"/>
  <c r="G99" i="13"/>
  <c r="J98" i="13"/>
  <c r="G98" i="13"/>
  <c r="J97" i="13"/>
  <c r="G97" i="13"/>
  <c r="J96" i="13"/>
  <c r="G96" i="13"/>
  <c r="J95" i="13"/>
  <c r="G95" i="13"/>
  <c r="J94" i="13"/>
  <c r="G94" i="13"/>
  <c r="J93" i="13"/>
  <c r="G93" i="13"/>
  <c r="J92" i="13"/>
  <c r="G92" i="13"/>
  <c r="J91" i="13"/>
  <c r="G91" i="13"/>
  <c r="J90" i="13"/>
  <c r="G90" i="13"/>
  <c r="J89" i="13"/>
  <c r="G89" i="13"/>
  <c r="J88" i="13"/>
  <c r="G88" i="13"/>
  <c r="J87" i="13"/>
  <c r="G87" i="13"/>
  <c r="J86" i="13"/>
  <c r="G86" i="13"/>
  <c r="J85" i="13"/>
  <c r="G85" i="13"/>
  <c r="J84" i="13"/>
  <c r="G84" i="13"/>
  <c r="J83" i="13"/>
  <c r="G83" i="13"/>
  <c r="J82" i="13"/>
  <c r="G82" i="13"/>
  <c r="J81" i="13"/>
  <c r="G81" i="13"/>
  <c r="J80" i="13"/>
  <c r="G80" i="13"/>
  <c r="J79" i="13"/>
  <c r="G79" i="13"/>
  <c r="J78" i="13"/>
  <c r="G78" i="13"/>
  <c r="J77" i="13"/>
  <c r="G77" i="13"/>
  <c r="J76" i="13"/>
  <c r="G76" i="13"/>
  <c r="J75" i="13"/>
  <c r="G75" i="13"/>
  <c r="J74" i="13"/>
  <c r="G74" i="13"/>
  <c r="J73" i="13"/>
  <c r="G73" i="13"/>
  <c r="J72" i="13"/>
  <c r="G72" i="13"/>
  <c r="J71" i="13"/>
  <c r="G71" i="13"/>
  <c r="J70" i="13"/>
  <c r="G70" i="13"/>
  <c r="J69" i="13"/>
  <c r="G69" i="13"/>
  <c r="J68" i="13"/>
  <c r="G68" i="13"/>
  <c r="J67" i="13"/>
  <c r="G67" i="13"/>
  <c r="J66" i="13"/>
  <c r="G66" i="13"/>
  <c r="J65" i="13"/>
  <c r="G65" i="13"/>
  <c r="J64" i="13"/>
  <c r="G64" i="13"/>
  <c r="J63" i="13"/>
  <c r="G63" i="13"/>
  <c r="J62" i="13"/>
  <c r="G62" i="13"/>
  <c r="J61" i="13"/>
  <c r="G61" i="13"/>
  <c r="J60" i="13"/>
  <c r="G60" i="13"/>
  <c r="J59" i="13"/>
  <c r="G59" i="13"/>
  <c r="J58" i="13"/>
  <c r="G58" i="13"/>
  <c r="J57" i="13"/>
  <c r="G57" i="13"/>
  <c r="J56" i="13"/>
  <c r="G56" i="13"/>
  <c r="J55" i="13"/>
  <c r="G55" i="13"/>
  <c r="J54" i="13"/>
  <c r="G54" i="13"/>
  <c r="J53" i="13"/>
  <c r="G53" i="13"/>
  <c r="J52" i="13"/>
  <c r="G52" i="13"/>
  <c r="J51" i="13"/>
  <c r="G51" i="13"/>
  <c r="J50" i="13"/>
  <c r="G50" i="13"/>
  <c r="J49" i="13"/>
  <c r="G49" i="13"/>
  <c r="J48" i="13"/>
  <c r="G48" i="13"/>
  <c r="J47" i="13"/>
  <c r="G47" i="13"/>
  <c r="J46" i="13"/>
  <c r="G46" i="13"/>
  <c r="J45" i="13"/>
  <c r="G45" i="13"/>
  <c r="J44" i="13"/>
  <c r="G44" i="13"/>
  <c r="J43" i="13"/>
  <c r="G43" i="13"/>
  <c r="J42" i="13"/>
  <c r="G42" i="13"/>
  <c r="J41" i="13"/>
  <c r="G41" i="13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J32" i="13"/>
  <c r="G32" i="13"/>
  <c r="J31" i="13"/>
  <c r="G31" i="13"/>
  <c r="J30" i="13"/>
  <c r="G30" i="13"/>
  <c r="J29" i="13"/>
  <c r="G29" i="13"/>
  <c r="J28" i="13"/>
  <c r="G28" i="13"/>
  <c r="J27" i="13"/>
  <c r="G27" i="13"/>
  <c r="J26" i="13"/>
  <c r="G26" i="13"/>
  <c r="J25" i="13"/>
  <c r="G25" i="13"/>
  <c r="J24" i="13"/>
  <c r="G24" i="13"/>
  <c r="J23" i="13"/>
  <c r="G23" i="13"/>
  <c r="J22" i="13"/>
  <c r="G22" i="13"/>
  <c r="J21" i="13"/>
  <c r="G21" i="13"/>
  <c r="J20" i="13"/>
  <c r="G20" i="13"/>
  <c r="J19" i="13"/>
  <c r="G19" i="13"/>
  <c r="J18" i="13"/>
  <c r="G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J7" i="13"/>
  <c r="G7" i="13"/>
  <c r="J6" i="13"/>
  <c r="G6" i="13"/>
  <c r="J5" i="13"/>
  <c r="G5" i="13"/>
  <c r="J4" i="13"/>
  <c r="G4" i="13"/>
  <c r="I9" i="7"/>
  <c r="I10" i="7"/>
  <c r="I16" i="7"/>
  <c r="I20" i="7"/>
  <c r="I21" i="7"/>
  <c r="I22" i="7"/>
  <c r="I23" i="7"/>
  <c r="I24" i="7"/>
  <c r="I25" i="7"/>
  <c r="I27" i="7"/>
  <c r="I36" i="7"/>
  <c r="I37" i="7"/>
  <c r="I38" i="7"/>
  <c r="I39" i="7"/>
  <c r="I40" i="7"/>
  <c r="I41" i="7"/>
  <c r="I42" i="7"/>
  <c r="I54" i="7"/>
  <c r="I55" i="7"/>
  <c r="I56" i="7"/>
  <c r="I57" i="7"/>
  <c r="I58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</calcChain>
</file>

<file path=xl/sharedStrings.xml><?xml version="1.0" encoding="utf-8"?>
<sst xmlns="http://schemas.openxmlformats.org/spreadsheetml/2006/main" count="1781" uniqueCount="451">
  <si>
    <t>Candida glabrata</t>
  </si>
  <si>
    <t>Faeces</t>
  </si>
  <si>
    <t>糞便</t>
  </si>
  <si>
    <t>Candida catenulata</t>
  </si>
  <si>
    <t>Faeces of man with dysentery</t>
  </si>
  <si>
    <t>赤痢患者の糞便</t>
  </si>
  <si>
    <t>Candida rugosa</t>
  </si>
  <si>
    <t>Faeces of Man</t>
  </si>
  <si>
    <t>ヒトの糞便</t>
  </si>
  <si>
    <t>Candida intermedia</t>
  </si>
  <si>
    <t>Rhodotorula mucilaginosa</t>
  </si>
  <si>
    <t>Candida pararugosa</t>
  </si>
  <si>
    <t>Saccharomyces cerevisiae</t>
  </si>
  <si>
    <t>Candida krusei</t>
  </si>
  <si>
    <t>Faeces of man</t>
  </si>
  <si>
    <t>Rhodotorula minuta</t>
  </si>
  <si>
    <t>Feces of child</t>
  </si>
  <si>
    <t>子供の糞便</t>
  </si>
  <si>
    <t>Patient with summer diarrhea</t>
  </si>
  <si>
    <t>Kazachstania servazzii</t>
  </si>
  <si>
    <t>Corynebacterium ammoniagenes</t>
  </si>
  <si>
    <t>Stool of infant</t>
  </si>
  <si>
    <t>乳児の糞便</t>
  </si>
  <si>
    <t>Bacteroides vulgatus</t>
  </si>
  <si>
    <t>Human feces</t>
  </si>
  <si>
    <t>Rectal swab</t>
  </si>
  <si>
    <t>直腸のスワブ検体</t>
  </si>
  <si>
    <t>Paenibacillus lautus</t>
  </si>
  <si>
    <t>Intestinal tract of child</t>
  </si>
  <si>
    <t>子供の腸管</t>
  </si>
  <si>
    <t>Aneurinibacillus aneurinilyticus</t>
  </si>
  <si>
    <t>Bacillus alcalophilus</t>
  </si>
  <si>
    <t>Intestine of adult</t>
  </si>
  <si>
    <t>大人の腸管</t>
  </si>
  <si>
    <t>Penicillium brefeldianum</t>
  </si>
  <si>
    <t>Human alimentary tract</t>
  </si>
  <si>
    <t>ヒトの消化管</t>
  </si>
  <si>
    <t>Feces of breast-fed infant</t>
  </si>
  <si>
    <t>Enterococcus avium</t>
  </si>
  <si>
    <t>Human faeces</t>
  </si>
  <si>
    <t>Enterococcus faecium</t>
  </si>
  <si>
    <t>Healthy human feces</t>
  </si>
  <si>
    <t>Escherichia fergusonii</t>
  </si>
  <si>
    <t>Feces of human (one-year-old boy)</t>
  </si>
  <si>
    <t>Vibrio fluvialis</t>
  </si>
  <si>
    <t>Trichosporon faecale</t>
  </si>
  <si>
    <t>Providencia alcalifaciens</t>
  </si>
  <si>
    <t>Feces</t>
  </si>
  <si>
    <t>Edwardsiella tarda</t>
  </si>
  <si>
    <t>Cedecea davisae</t>
  </si>
  <si>
    <t>Yersinia bercovieri</t>
  </si>
  <si>
    <t>Citrobacter sedlakii</t>
  </si>
  <si>
    <t>Human feces (food poisoning in man)</t>
  </si>
  <si>
    <t>ヒトの糞便（食中毒患者）</t>
  </si>
  <si>
    <t>Escherichia albertii</t>
  </si>
  <si>
    <t>Stool from diarrhoeal child</t>
  </si>
  <si>
    <t>下痢を患った子供の糞便</t>
  </si>
  <si>
    <t>Escherichia coli phage Qβ</t>
  </si>
  <si>
    <t>Escherichia coli phage FI</t>
  </si>
  <si>
    <t>Ezakiella peruensis</t>
  </si>
  <si>
    <t>Human fecal sample</t>
  </si>
  <si>
    <t>Faeces from baby</t>
  </si>
  <si>
    <t>赤ちゃんの糞便</t>
  </si>
  <si>
    <t>Bacteroides uniformis</t>
  </si>
  <si>
    <t>Bifidobacterium pseudocatenulatum</t>
  </si>
  <si>
    <t>Finegoldia magna</t>
  </si>
  <si>
    <t>Flavonifractor plautii</t>
  </si>
  <si>
    <t>Parabacteroides distasonis</t>
  </si>
  <si>
    <t>細菌</t>
    <rPh sb="0" eb="2">
      <t>サイキン</t>
    </rPh>
    <phoneticPr fontId="1"/>
  </si>
  <si>
    <t>糸状菌</t>
    <rPh sb="0" eb="3">
      <t>シジョウキン</t>
    </rPh>
    <phoneticPr fontId="1"/>
  </si>
  <si>
    <t>酵母</t>
    <rPh sb="0" eb="2">
      <t>コウボ</t>
    </rPh>
    <phoneticPr fontId="1"/>
  </si>
  <si>
    <t>バクテリオファージ</t>
    <phoneticPr fontId="1"/>
  </si>
  <si>
    <t>Type</t>
    <phoneticPr fontId="1"/>
  </si>
  <si>
    <t>学名</t>
  </si>
  <si>
    <t>NBRC 番号</t>
  </si>
  <si>
    <t>生物群</t>
  </si>
  <si>
    <t>分類学的基準株</t>
  </si>
  <si>
    <t>Source of Isolation
(オンラインカタログ記載内容）</t>
  </si>
  <si>
    <t>分離源</t>
  </si>
  <si>
    <r>
      <t xml:space="preserve">Morganella morganii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morganii</t>
    </r>
    <phoneticPr fontId="1"/>
  </si>
  <si>
    <r>
      <t xml:space="preserve">Salmonella enterica </t>
    </r>
    <r>
      <rPr>
        <sz val="11"/>
        <color theme="1"/>
        <rFont val="Meiryo UI"/>
        <family val="3"/>
        <charset val="128"/>
      </rPr>
      <t>subsp. e</t>
    </r>
    <r>
      <rPr>
        <i/>
        <sz val="11"/>
        <color theme="1"/>
        <rFont val="Meiryo UI"/>
        <family val="3"/>
        <charset val="128"/>
      </rPr>
      <t>nterica</t>
    </r>
    <phoneticPr fontId="1"/>
  </si>
  <si>
    <t>夏季下痢を患った患者</t>
    <phoneticPr fontId="1"/>
  </si>
  <si>
    <t>Human faeces</t>
    <phoneticPr fontId="1"/>
  </si>
  <si>
    <t>ヒトの糞便</t>
    <phoneticPr fontId="1"/>
  </si>
  <si>
    <t>嫌気培養を行ってください。</t>
  </si>
  <si>
    <t>嫌気培養を行ってください。</t>
    <phoneticPr fontId="1"/>
  </si>
  <si>
    <t>Bifidobacterium bifidum</t>
    <phoneticPr fontId="1"/>
  </si>
  <si>
    <t xml:space="preserve">Escherichia coli </t>
  </si>
  <si>
    <t>細菌</t>
  </si>
  <si>
    <t>糞便（ヒト糞便か不明）</t>
  </si>
  <si>
    <t>Klebsiella aerogenes</t>
    <phoneticPr fontId="9"/>
  </si>
  <si>
    <t xml:space="preserve">L2 </t>
  </si>
  <si>
    <t>L1*</t>
  </si>
  <si>
    <t>培養に関する注意事項</t>
    <phoneticPr fontId="1"/>
  </si>
  <si>
    <t>通性嫌気性ですが、嫌気培養を行ってください。</t>
    <rPh sb="4" eb="5">
      <t>セイ</t>
    </rPh>
    <phoneticPr fontId="1"/>
  </si>
  <si>
    <t>細菌</t>
    <phoneticPr fontId="1"/>
  </si>
  <si>
    <t>Human Feces (individual A)</t>
  </si>
  <si>
    <t>RD014231</t>
  </si>
  <si>
    <t>RD014230</t>
  </si>
  <si>
    <t>RD014229</t>
  </si>
  <si>
    <t>RD014228</t>
  </si>
  <si>
    <t>RD014243</t>
  </si>
  <si>
    <t>Human Feces (individual D)</t>
    <phoneticPr fontId="1"/>
  </si>
  <si>
    <t>RD014525</t>
  </si>
  <si>
    <t>Human Feces (individual E)</t>
    <phoneticPr fontId="1"/>
  </si>
  <si>
    <t>RD014545</t>
  </si>
  <si>
    <t>Human Feces (individual C)</t>
  </si>
  <si>
    <t>RD014257</t>
  </si>
  <si>
    <t>RD014256</t>
  </si>
  <si>
    <t>RD014537</t>
  </si>
  <si>
    <t>RD014202</t>
  </si>
  <si>
    <t>RD014201</t>
  </si>
  <si>
    <t>RD014200</t>
  </si>
  <si>
    <t>RD014199</t>
  </si>
  <si>
    <t>RD014198</t>
  </si>
  <si>
    <t>Human Feces (individual F)</t>
    <phoneticPr fontId="1"/>
  </si>
  <si>
    <t>RD014535</t>
  </si>
  <si>
    <t>RD014241</t>
  </si>
  <si>
    <t>RD014553</t>
  </si>
  <si>
    <t>RD014240</t>
  </si>
  <si>
    <t>RD014238</t>
  </si>
  <si>
    <t>Human Feces (individual G)</t>
    <phoneticPr fontId="1"/>
  </si>
  <si>
    <t>RD014543</t>
  </si>
  <si>
    <t>RD014250</t>
  </si>
  <si>
    <t>Human Feces (individual B)</t>
  </si>
  <si>
    <t>RD014217</t>
  </si>
  <si>
    <t>RD014216</t>
  </si>
  <si>
    <t>RD014215</t>
  </si>
  <si>
    <t>RD014214</t>
  </si>
  <si>
    <t>RD014213</t>
  </si>
  <si>
    <t>RD014212</t>
  </si>
  <si>
    <t>RD014524</t>
  </si>
  <si>
    <t>RD014523</t>
  </si>
  <si>
    <t>RD014522</t>
  </si>
  <si>
    <t>RD014521</t>
  </si>
  <si>
    <t>RD014164</t>
  </si>
  <si>
    <t>RD014163</t>
  </si>
  <si>
    <t>RD014160</t>
  </si>
  <si>
    <t>RD014159</t>
  </si>
  <si>
    <t>RD014158</t>
  </si>
  <si>
    <t>RD014157</t>
  </si>
  <si>
    <t>RD014531</t>
  </si>
  <si>
    <t>RD014529</t>
  </si>
  <si>
    <t>RD014528</t>
  </si>
  <si>
    <t>RD014527</t>
  </si>
  <si>
    <t>RD014526</t>
  </si>
  <si>
    <t>RD014542</t>
  </si>
  <si>
    <t>RD014541</t>
  </si>
  <si>
    <t>RD014540</t>
  </si>
  <si>
    <t>RD014539</t>
  </si>
  <si>
    <t>RD014255</t>
  </si>
  <si>
    <t>RD014254</t>
  </si>
  <si>
    <t>RD014253</t>
  </si>
  <si>
    <t>Human Feces (individual A)</t>
    <phoneticPr fontId="9"/>
  </si>
  <si>
    <t>RD014252</t>
  </si>
  <si>
    <t>RD 番号</t>
  </si>
  <si>
    <t>バイオセーフティレベル
(オンラインカタログ記載内容）</t>
    <phoneticPr fontId="1"/>
  </si>
  <si>
    <t>16S rDNA配列</t>
    <rPh sb="8" eb="10">
      <t>ハイレツ</t>
    </rPh>
    <phoneticPr fontId="1"/>
  </si>
  <si>
    <t>ヒト糞便由来微生物株リスト（NBRC株）</t>
    <rPh sb="2" eb="4">
      <t>フンベン</t>
    </rPh>
    <rPh sb="4" eb="6">
      <t>ユライ</t>
    </rPh>
    <rPh sb="6" eb="9">
      <t>ビセイブツ</t>
    </rPh>
    <rPh sb="9" eb="10">
      <t>カブ</t>
    </rPh>
    <rPh sb="18" eb="19">
      <t>カブ</t>
    </rPh>
    <phoneticPr fontId="1"/>
  </si>
  <si>
    <t>RD014873</t>
  </si>
  <si>
    <t>RD014874</t>
  </si>
  <si>
    <t>RD014875</t>
  </si>
  <si>
    <t>RD014876</t>
  </si>
  <si>
    <t>RD014877</t>
  </si>
  <si>
    <t>RD014878</t>
  </si>
  <si>
    <t>RD014880</t>
  </si>
  <si>
    <t>RD014881</t>
  </si>
  <si>
    <t>RD014882</t>
  </si>
  <si>
    <t>RD014883</t>
  </si>
  <si>
    <t>RD014884</t>
  </si>
  <si>
    <t>RD014888</t>
  </si>
  <si>
    <t>RD014890</t>
  </si>
  <si>
    <t>RD014891</t>
  </si>
  <si>
    <t>RD014895</t>
  </si>
  <si>
    <t>RD014898</t>
  </si>
  <si>
    <t>RD014899</t>
  </si>
  <si>
    <t>RD014900</t>
  </si>
  <si>
    <t>RD014901</t>
  </si>
  <si>
    <t>RD014902</t>
  </si>
  <si>
    <t>RD014905</t>
  </si>
  <si>
    <t>RD014906</t>
  </si>
  <si>
    <t>RD014910</t>
  </si>
  <si>
    <t>RD014911</t>
  </si>
  <si>
    <t>Escherichia coli</t>
    <phoneticPr fontId="1"/>
  </si>
  <si>
    <t xml:space="preserve">Human faeces </t>
    <phoneticPr fontId="1"/>
  </si>
  <si>
    <t>ヒトの糞便</t>
    <rPh sb="3" eb="5">
      <t>フンベン</t>
    </rPh>
    <phoneticPr fontId="1"/>
  </si>
  <si>
    <t xml:space="preserve">Akkermansia muciniphila </t>
    <phoneticPr fontId="1"/>
  </si>
  <si>
    <t>Healthy human feces</t>
    <phoneticPr fontId="1"/>
  </si>
  <si>
    <t>ヒトの糞便</t>
    <phoneticPr fontId="1"/>
  </si>
  <si>
    <t>・新規に公開した菌株はリストに網掛けで記載しております。</t>
    <phoneticPr fontId="1"/>
  </si>
  <si>
    <t>Bifidobacterium longum</t>
    <phoneticPr fontId="1"/>
  </si>
  <si>
    <t>Anaerostipes caccae</t>
    <phoneticPr fontId="1"/>
  </si>
  <si>
    <t xml:space="preserve">Human feces of healthy pre-obese Japanese male </t>
    <phoneticPr fontId="1"/>
  </si>
  <si>
    <t>Ruminococcus gnavus</t>
    <phoneticPr fontId="1"/>
  </si>
  <si>
    <t xml:space="preserve">Human feces of healthy normal-weight Japanese male </t>
    <phoneticPr fontId="1"/>
  </si>
  <si>
    <t>Eubacterium limosum</t>
    <phoneticPr fontId="1"/>
  </si>
  <si>
    <t xml:space="preserve">Healthy human feces </t>
    <phoneticPr fontId="1"/>
  </si>
  <si>
    <t>Megamonas funiformis</t>
    <phoneticPr fontId="1"/>
  </si>
  <si>
    <t>Human feces of healthy normal-weight Thai male</t>
  </si>
  <si>
    <r>
      <t xml:space="preserve">Bifidobacterium longum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longum </t>
    </r>
    <phoneticPr fontId="1"/>
  </si>
  <si>
    <t>Human feces (healthy pre-obese Japanese male in his late 50s)</t>
    <phoneticPr fontId="1"/>
  </si>
  <si>
    <t>Metamycoplasma hominis</t>
    <phoneticPr fontId="1"/>
  </si>
  <si>
    <t>Limosilactobacillus reuteri</t>
    <phoneticPr fontId="1"/>
  </si>
  <si>
    <t>Levilactobacillus brevis</t>
    <phoneticPr fontId="1"/>
  </si>
  <si>
    <t>Lacticaseibacillus paracasei</t>
    <phoneticPr fontId="1"/>
  </si>
  <si>
    <t>Enterocloster clostridioformis</t>
    <phoneticPr fontId="1"/>
  </si>
  <si>
    <t>更新日
2021年４月28日</t>
    <rPh sb="0" eb="2">
      <t>コウシン</t>
    </rPh>
    <rPh sb="8" eb="9">
      <t>ネン</t>
    </rPh>
    <rPh sb="10" eb="11">
      <t>ガツ</t>
    </rPh>
    <rPh sb="13" eb="14">
      <t>ニチ</t>
    </rPh>
    <phoneticPr fontId="1"/>
  </si>
  <si>
    <t>Akkermansia muciniphila</t>
    <phoneticPr fontId="1"/>
  </si>
  <si>
    <t>Akkermansia sp.</t>
    <phoneticPr fontId="1"/>
  </si>
  <si>
    <t>Human feces (feces of healthy pre-obese Japanese male in his late 50s)</t>
    <phoneticPr fontId="1"/>
  </si>
  <si>
    <t>Human feces (feces of healthy normal-weight Japanese male in his late 40s)</t>
    <phoneticPr fontId="1"/>
  </si>
  <si>
    <t>生物種</t>
    <phoneticPr fontId="1"/>
  </si>
  <si>
    <t>Source of Isolation</t>
    <phoneticPr fontId="1"/>
  </si>
  <si>
    <t>分離源</t>
    <phoneticPr fontId="1"/>
  </si>
  <si>
    <t>RD015142</t>
  </si>
  <si>
    <t>嫌気培養を行ってください。</t>
    <rPh sb="0" eb="2">
      <t>ケンキ</t>
    </rPh>
    <rPh sb="2" eb="4">
      <t>バイヨウ</t>
    </rPh>
    <rPh sb="5" eb="6">
      <t>オコナ</t>
    </rPh>
    <phoneticPr fontId="1"/>
  </si>
  <si>
    <t>RD015143</t>
  </si>
  <si>
    <t>RD015144</t>
  </si>
  <si>
    <t>RD015145</t>
  </si>
  <si>
    <t>RD015146</t>
  </si>
  <si>
    <t>RD015148</t>
  </si>
  <si>
    <t>RD015151</t>
  </si>
  <si>
    <t>乳酸菌</t>
  </si>
  <si>
    <t>RD015152</t>
  </si>
  <si>
    <t>RD015155</t>
  </si>
  <si>
    <t>RD015156</t>
  </si>
  <si>
    <t>RD015159</t>
  </si>
  <si>
    <t>RD015162</t>
  </si>
  <si>
    <t>RD015165</t>
  </si>
  <si>
    <r>
      <t>Flavonifractor</t>
    </r>
    <r>
      <rPr>
        <sz val="11"/>
        <color theme="1"/>
        <rFont val="Meiryo UI"/>
        <family val="3"/>
        <charset val="128"/>
      </rPr>
      <t xml:space="preserve"> sp.</t>
    </r>
  </si>
  <si>
    <t>RD015166</t>
  </si>
  <si>
    <t>RD015167</t>
  </si>
  <si>
    <t>RD015168</t>
  </si>
  <si>
    <t>RD015171</t>
  </si>
  <si>
    <t>RD015172</t>
  </si>
  <si>
    <t>RD015174</t>
  </si>
  <si>
    <t>RD015175</t>
  </si>
  <si>
    <t>RD015179</t>
  </si>
  <si>
    <t>RD015181</t>
  </si>
  <si>
    <t>RD015183</t>
  </si>
  <si>
    <t>培地2</t>
    <phoneticPr fontId="1"/>
  </si>
  <si>
    <t>学名</t>
    <phoneticPr fontId="1"/>
  </si>
  <si>
    <t>BSL</t>
    <phoneticPr fontId="1"/>
  </si>
  <si>
    <t>培地1</t>
  </si>
  <si>
    <t>培地2</t>
  </si>
  <si>
    <t>Bifidobacterium sp.</t>
  </si>
  <si>
    <t>RD011719</t>
    <phoneticPr fontId="1"/>
  </si>
  <si>
    <t>Human Feces (new born baby)</t>
    <phoneticPr fontId="1"/>
  </si>
  <si>
    <t>RD011720</t>
    <phoneticPr fontId="1"/>
  </si>
  <si>
    <t>Enterococcus sp.</t>
  </si>
  <si>
    <t>RD011721</t>
  </si>
  <si>
    <t>2</t>
  </si>
  <si>
    <t>Human Feces (individual B)</t>
    <phoneticPr fontId="1"/>
  </si>
  <si>
    <t>RD014161</t>
  </si>
  <si>
    <t>1*</t>
  </si>
  <si>
    <t>Human Feces (individual C)</t>
    <phoneticPr fontId="1"/>
  </si>
  <si>
    <t>RD014162</t>
  </si>
  <si>
    <t>Thermophilibacter sp.</t>
  </si>
  <si>
    <t>RD014165</t>
  </si>
  <si>
    <t>Human Feces (individual A)</t>
    <phoneticPr fontId="1"/>
  </si>
  <si>
    <t>Collinsella sp.</t>
  </si>
  <si>
    <t>RD014166</t>
  </si>
  <si>
    <t>RD014167</t>
  </si>
  <si>
    <t>RD014168</t>
  </si>
  <si>
    <t>RD014169</t>
  </si>
  <si>
    <t>Eggerthella sp.</t>
  </si>
  <si>
    <t>RD014170</t>
  </si>
  <si>
    <t>RD014171</t>
  </si>
  <si>
    <t>RD014172</t>
  </si>
  <si>
    <t>RD014173</t>
  </si>
  <si>
    <t>RD014174</t>
  </si>
  <si>
    <t>RD014175</t>
  </si>
  <si>
    <t>RD014176</t>
  </si>
  <si>
    <t>RD014177</t>
  </si>
  <si>
    <t>RD014178</t>
  </si>
  <si>
    <t>RD014179</t>
  </si>
  <si>
    <t>RD014180</t>
  </si>
  <si>
    <t>Raoultibacter sp.</t>
  </si>
  <si>
    <t>RD014181</t>
  </si>
  <si>
    <t>Rubneribacter sp.</t>
  </si>
  <si>
    <t>RD014182</t>
  </si>
  <si>
    <t>RD014183</t>
  </si>
  <si>
    <t>RD014184</t>
  </si>
  <si>
    <t>Bacteroides sp.</t>
  </si>
  <si>
    <t>RD014185</t>
  </si>
  <si>
    <t>RD014186</t>
  </si>
  <si>
    <t>RD014187</t>
  </si>
  <si>
    <t>RD014188</t>
  </si>
  <si>
    <t>RD014189</t>
  </si>
  <si>
    <t>RD014190</t>
  </si>
  <si>
    <t>RD014191</t>
  </si>
  <si>
    <t>RD014192</t>
  </si>
  <si>
    <t>RD014193</t>
  </si>
  <si>
    <t>RD014194</t>
  </si>
  <si>
    <t>RD014195</t>
  </si>
  <si>
    <t>Parabacteroides sp.</t>
  </si>
  <si>
    <t>RD014196</t>
  </si>
  <si>
    <t>RD014204</t>
  </si>
  <si>
    <t>RD014206</t>
  </si>
  <si>
    <t>RD014207</t>
  </si>
  <si>
    <t>RD014208</t>
  </si>
  <si>
    <t>RD014209</t>
  </si>
  <si>
    <t>Lacticaseibacillus sp.</t>
  </si>
  <si>
    <t>RD014210</t>
  </si>
  <si>
    <t>RD014211</t>
  </si>
  <si>
    <t>Catabacter sp.</t>
  </si>
  <si>
    <t>Christensenella sp.</t>
  </si>
  <si>
    <t>Clostridium sp.</t>
  </si>
  <si>
    <t>RD014218</t>
  </si>
  <si>
    <t>RD014219</t>
  </si>
  <si>
    <t>Hungatella sp.</t>
  </si>
  <si>
    <t>RD014220</t>
  </si>
  <si>
    <t>1</t>
  </si>
  <si>
    <t>RD014221</t>
  </si>
  <si>
    <t>RD014222</t>
  </si>
  <si>
    <t>RD014223</t>
  </si>
  <si>
    <t>RD014225</t>
  </si>
  <si>
    <t>RD014226</t>
  </si>
  <si>
    <t>Coprococcus sp.</t>
  </si>
  <si>
    <t>RD014227</t>
  </si>
  <si>
    <t>Ruthenibacterium sp.</t>
  </si>
  <si>
    <t>Blautia sp.</t>
  </si>
  <si>
    <t>Finegoldia sp.</t>
  </si>
  <si>
    <t>RD014235</t>
  </si>
  <si>
    <t>RD014237</t>
  </si>
  <si>
    <t>Flavonifractor sp.</t>
  </si>
  <si>
    <t>Intestinimonas sp.</t>
  </si>
  <si>
    <t>Peptoniphilus sp.</t>
  </si>
  <si>
    <t>RD014244</t>
  </si>
  <si>
    <t>RD014245</t>
  </si>
  <si>
    <t>Thomasclavelia sp.</t>
  </si>
  <si>
    <t>RD014246</t>
  </si>
  <si>
    <t>RD014247</t>
  </si>
  <si>
    <t>RD014248</t>
  </si>
  <si>
    <t>Faecalicoccus sp.</t>
  </si>
  <si>
    <t>Acidaminococcus sp.</t>
  </si>
  <si>
    <t>Parasutterella sp.</t>
  </si>
  <si>
    <t>Klebsiella sp.</t>
  </si>
  <si>
    <t>RD014258</t>
  </si>
  <si>
    <t>好気培養を行ってください。</t>
    <rPh sb="0" eb="1">
      <t>コノ</t>
    </rPh>
    <phoneticPr fontId="1"/>
  </si>
  <si>
    <t>Enterobacter sp.</t>
  </si>
  <si>
    <t>RD014259</t>
  </si>
  <si>
    <t>RD014260</t>
  </si>
  <si>
    <t>Escherichia sp.</t>
  </si>
  <si>
    <t>RD014262</t>
  </si>
  <si>
    <t>RD014263</t>
  </si>
  <si>
    <t>Pediococcus sp.</t>
  </si>
  <si>
    <t>RD014530</t>
  </si>
  <si>
    <t>RD014532</t>
  </si>
  <si>
    <t>Butyricimonas sp.</t>
  </si>
  <si>
    <t>RD014533</t>
  </si>
  <si>
    <t>RD014534</t>
  </si>
  <si>
    <t>Odoribacter sp.</t>
  </si>
  <si>
    <t>Barnesiella sp.</t>
  </si>
  <si>
    <t>RD014536</t>
  </si>
  <si>
    <t>Alistipes sp.</t>
  </si>
  <si>
    <t>Veillonella sp.</t>
  </si>
  <si>
    <t>Gordonibacter sp.</t>
  </si>
  <si>
    <t>RD014555</t>
  </si>
  <si>
    <t>RD014556</t>
  </si>
  <si>
    <t>Streptococcus sp.</t>
  </si>
  <si>
    <t>RD014567</t>
  </si>
  <si>
    <t>RD014568</t>
  </si>
  <si>
    <t>RD014569</t>
  </si>
  <si>
    <t>RD014570</t>
  </si>
  <si>
    <t>RD014571</t>
  </si>
  <si>
    <t>RD014572</t>
  </si>
  <si>
    <t>RD014577</t>
  </si>
  <si>
    <t>RD014586</t>
  </si>
  <si>
    <t>Bifidobacterium sp.</t>
    <phoneticPr fontId="1"/>
  </si>
  <si>
    <t>Coprobacter sp.</t>
    <phoneticPr fontId="1"/>
  </si>
  <si>
    <t>Bacteroides sp.</t>
    <phoneticPr fontId="1"/>
  </si>
  <si>
    <t>RD014885</t>
  </si>
  <si>
    <t>RD014886</t>
  </si>
  <si>
    <t>RD014887</t>
  </si>
  <si>
    <t>Peptoniphilus sp.</t>
    <phoneticPr fontId="1"/>
  </si>
  <si>
    <t>RD014889</t>
  </si>
  <si>
    <t>Anaerotignum sp.</t>
    <phoneticPr fontId="1"/>
  </si>
  <si>
    <t>Blautia sp.</t>
    <phoneticPr fontId="1"/>
  </si>
  <si>
    <t>RD014893</t>
  </si>
  <si>
    <t>Dorea sp.</t>
  </si>
  <si>
    <t>RD014894</t>
  </si>
  <si>
    <t>Mediterraneibacter sp.</t>
    <phoneticPr fontId="1"/>
  </si>
  <si>
    <t>Merdimonas sp.</t>
  </si>
  <si>
    <t>RD014896</t>
  </si>
  <si>
    <t>cf. Coprococcus sp.</t>
  </si>
  <si>
    <t>RD014897</t>
  </si>
  <si>
    <t>Ruminococcus sp.</t>
    <phoneticPr fontId="1"/>
  </si>
  <si>
    <t>Sellimonas sp.</t>
    <phoneticPr fontId="1"/>
  </si>
  <si>
    <t>Flavonifractor sp.</t>
    <phoneticPr fontId="1"/>
  </si>
  <si>
    <t>Intestinimonas sp.</t>
    <phoneticPr fontId="1"/>
  </si>
  <si>
    <t>Massilimicrobiota sp.</t>
  </si>
  <si>
    <t>RD014903</t>
  </si>
  <si>
    <t>RD014904</t>
  </si>
  <si>
    <t>Dielma sp.</t>
    <phoneticPr fontId="1"/>
  </si>
  <si>
    <t>Holdemanella sp.</t>
    <phoneticPr fontId="1"/>
  </si>
  <si>
    <t>Phascolarctobacterium sp.</t>
  </si>
  <si>
    <t>RD014907</t>
  </si>
  <si>
    <t>RD014908</t>
  </si>
  <si>
    <t>Bilophila sp.</t>
  </si>
  <si>
    <t>RD014909</t>
  </si>
  <si>
    <t>Collinsella sp.</t>
    <phoneticPr fontId="1"/>
  </si>
  <si>
    <t>RD014912</t>
  </si>
  <si>
    <t>Slackia sp.</t>
  </si>
  <si>
    <t>RD014913</t>
  </si>
  <si>
    <t>RD014923</t>
  </si>
  <si>
    <t>RD014924</t>
  </si>
  <si>
    <t>RD014925</t>
  </si>
  <si>
    <t>RD014926</t>
  </si>
  <si>
    <t>RD014927</t>
  </si>
  <si>
    <t>RD014928</t>
  </si>
  <si>
    <t>RD014929</t>
  </si>
  <si>
    <t>RD014930</t>
  </si>
  <si>
    <t>Fusobacterium sp.</t>
  </si>
  <si>
    <t>RD014931</t>
  </si>
  <si>
    <t>RD014932</t>
  </si>
  <si>
    <t>Citrobacter sp.</t>
  </si>
  <si>
    <t>RD014933</t>
  </si>
  <si>
    <t>Olsenella sp.</t>
  </si>
  <si>
    <t>RD014934</t>
  </si>
  <si>
    <t>RD014935</t>
  </si>
  <si>
    <t>Asaccharobacter sp.</t>
  </si>
  <si>
    <t>Bacillus sp.</t>
  </si>
  <si>
    <t>RD015147</t>
  </si>
  <si>
    <t>RD015149</t>
  </si>
  <si>
    <t>RD015150</t>
  </si>
  <si>
    <t>RD015154</t>
  </si>
  <si>
    <t>Enterocloster sp.</t>
  </si>
  <si>
    <t>RD015157</t>
  </si>
  <si>
    <t>RD015158</t>
  </si>
  <si>
    <t>RD015160</t>
  </si>
  <si>
    <t>RD015161</t>
  </si>
  <si>
    <t>Coprobacillus sp.</t>
  </si>
  <si>
    <t>RD015163</t>
  </si>
  <si>
    <t>Eisenbergiella sp.</t>
  </si>
  <si>
    <t>RD015164</t>
  </si>
  <si>
    <t>Lactococcus sp.</t>
  </si>
  <si>
    <t>RD015169</t>
  </si>
  <si>
    <t>RD015170</t>
  </si>
  <si>
    <t>Pseudoflavonifractor sp.</t>
  </si>
  <si>
    <t>RD015173</t>
  </si>
  <si>
    <t>Sellimonas sp.</t>
  </si>
  <si>
    <t>Turicibacter sp.</t>
  </si>
  <si>
    <t>Ruminococcus sp.</t>
  </si>
  <si>
    <t>RD015180</t>
  </si>
  <si>
    <t>Intestinibacter sp.</t>
  </si>
  <si>
    <t>RD015182</t>
  </si>
  <si>
    <t>RD015184</t>
  </si>
  <si>
    <r>
      <t>新規公開株は</t>
    </r>
    <r>
      <rPr>
        <b/>
        <u/>
        <sz val="12"/>
        <color rgb="FF0070C0"/>
        <rFont val="Meiryo UI"/>
        <family val="3"/>
        <charset val="128"/>
      </rPr>
      <t>薄青の網掛け</t>
    </r>
    <r>
      <rPr>
        <b/>
        <sz val="12"/>
        <color rgb="FFFF0000"/>
        <rFont val="Meiryo UI"/>
        <family val="3"/>
        <charset val="128"/>
      </rPr>
      <t>で表示しています。</t>
    </r>
    <rPh sb="0" eb="2">
      <t>シンキ</t>
    </rPh>
    <rPh sb="2" eb="5">
      <t>コウカイカブ</t>
    </rPh>
    <rPh sb="6" eb="7">
      <t>ウス</t>
    </rPh>
    <rPh sb="7" eb="8">
      <t>アオ</t>
    </rPh>
    <rPh sb="9" eb="11">
      <t>アミカ</t>
    </rPh>
    <rPh sb="13" eb="15">
      <t>ヒョウジ</t>
    </rPh>
    <phoneticPr fontId="1"/>
  </si>
  <si>
    <t>ヒト糞便由来微生物株リスト（RD株）</t>
    <phoneticPr fontId="1"/>
  </si>
  <si>
    <t>更新日
2025年7月14日</t>
    <rPh sb="8" eb="9">
      <t>ネン</t>
    </rPh>
    <rPh sb="10" eb="11">
      <t>ガツ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</si>
</sst>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2"/>
      <color indexed="8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6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0070C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3" applyNumberFormat="1" applyFont="1" applyBorder="1" applyAlignment="1">
      <alignment horizontal="center" vertical="center"/>
    </xf>
    <xf numFmtId="0" fontId="19" fillId="0" borderId="1" xfId="3" applyNumberFormat="1" applyFont="1" applyFill="1" applyBorder="1" applyAlignment="1" applyProtection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8" fillId="0" borderId="0" xfId="3">
      <alignment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9" fillId="0" borderId="5" xfId="3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8" fillId="0" borderId="10" xfId="3" applyFill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8" fillId="0" borderId="12" xfId="3" applyFill="1" applyBorder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8" fillId="5" borderId="12" xfId="3" applyFill="1" applyBorder="1">
      <alignment vertical="center"/>
    </xf>
    <xf numFmtId="0" fontId="18" fillId="0" borderId="12" xfId="3" applyBorder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8" fillId="5" borderId="15" xfId="3" applyFill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149CC2E5-165E-4532-B2D5-16FB6999A72C}"/>
    <cellStyle name="標準 3" xfId="1" xr:uid="{A9F5EDB0-8003-44C2-9F7A-19A27798A4FD}"/>
  </cellStyles>
  <dxfs count="14">
    <dxf>
      <font>
        <color rgb="FFFF0000"/>
      </font>
      <fill>
        <patternFill>
          <bgColor rgb="FFFFFF00"/>
        </patternFill>
      </fill>
    </dxf>
    <dxf>
      <fill>
        <patternFill patternType="solid">
          <fgColor indexed="64"/>
          <bgColor rgb="FFCCECFF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E6"/>
      <color rgb="FFFFFFC9"/>
      <color rgb="FFDDF2FF"/>
      <color rgb="FFCCECFF"/>
      <color rgb="FFFFFFEB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53F776-D13F-4444-94D9-CA703D0F816E}" name="テーブル1" displayName="テーブル1" ref="A3:J225" totalsRowShown="0" headerRowDxfId="13" headerRowBorderDxfId="12" tableBorderDxfId="11">
  <autoFilter ref="A3:J225" xr:uid="{4DCFC4CA-5C5E-48D7-9CE8-C1F179D1A863}"/>
  <tableColumns count="10">
    <tableColumn id="1" xr3:uid="{761A8815-B3A1-408F-84AC-F769C9AC1994}" name="学名" dataDxfId="10"/>
    <tableColumn id="2" xr3:uid="{45BB789D-5103-4BCF-9D04-463FC6720D9C}" name="RD 番号" dataDxfId="9"/>
    <tableColumn id="3" xr3:uid="{13C094B1-49C4-45C1-802B-303898549147}" name="BSL" dataDxfId="8"/>
    <tableColumn id="4" xr3:uid="{C7418668-7413-4A30-9CC3-748DE1B5C4B5}" name="生物種" dataDxfId="7"/>
    <tableColumn id="5" xr3:uid="{8929D0A3-4429-4B65-96E5-8B18C6757884}" name="Source of Isolation" dataDxfId="6"/>
    <tableColumn id="6" xr3:uid="{6A9571B2-3275-4B53-86D8-5A893E308D4F}" name="分離源" dataDxfId="5"/>
    <tableColumn id="7" xr3:uid="{E2E9A28A-BAF8-4A3F-8FD4-DACB3415B6D2}" name="培地1" dataDxfId="4" dataCellStyle="ハイパーリンク"/>
    <tableColumn id="8" xr3:uid="{D3B65451-7CDE-4ED6-9392-8BFCA0FFC33C}" name="培地2" dataDxfId="3" dataCellStyle="ハイパーリンク"/>
    <tableColumn id="9" xr3:uid="{6118EA14-7541-47F0-BA9E-5C8A3AC027F9}" name="培養に関する注意事項" dataDxfId="2"/>
    <tableColumn id="10" xr3:uid="{3EBD8DCD-2943-44B9-969A-0A9E14EBA883}" name="16S rDNA配列" dataDxfId="1" dataCellStyle="ハイパーリンク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2421-F2C1-4287-9FDC-64FC5E4A4C8A}">
  <sheetPr>
    <tabColor rgb="FFFFC000"/>
    <pageSetUpPr fitToPage="1"/>
  </sheetPr>
  <dimension ref="A1:J59"/>
  <sheetViews>
    <sheetView view="pageBreakPreview" zoomScale="70" zoomScaleNormal="70" zoomScaleSheetLayoutView="70" workbookViewId="0">
      <pane ySplit="2" topLeftCell="A3" activePane="bottomLeft" state="frozen"/>
      <selection pane="bottomLeft" activeCell="A3" sqref="A3"/>
    </sheetView>
  </sheetViews>
  <sheetFormatPr defaultColWidth="9" defaultRowHeight="15" x14ac:dyDescent="0.55000000000000004"/>
  <cols>
    <col min="1" max="1" width="49" style="6" customWidth="1"/>
    <col min="2" max="2" width="12.08203125" style="2" customWidth="1"/>
    <col min="3" max="3" width="15.6640625" style="2" customWidth="1"/>
    <col min="4" max="4" width="10.4140625" style="2" customWidth="1"/>
    <col min="5" max="5" width="28" style="2" customWidth="1"/>
    <col min="6" max="6" width="56.5" style="8" customWidth="1"/>
    <col min="7" max="7" width="33.6640625" style="2" customWidth="1"/>
    <col min="8" max="9" width="11.4140625" style="2" customWidth="1"/>
    <col min="10" max="10" width="21.08203125" style="12" customWidth="1"/>
    <col min="11" max="16384" width="9" style="1"/>
  </cols>
  <sheetData>
    <row r="1" spans="1:10" ht="40.25" customHeight="1" x14ac:dyDescent="0.3">
      <c r="A1" s="75" t="s">
        <v>158</v>
      </c>
      <c r="B1" s="75"/>
      <c r="C1" s="75"/>
      <c r="D1" s="75"/>
      <c r="E1" s="75"/>
      <c r="F1" s="75"/>
      <c r="G1" s="75"/>
      <c r="H1" s="75"/>
      <c r="I1" s="75"/>
      <c r="J1" s="17" t="s">
        <v>206</v>
      </c>
    </row>
    <row r="2" spans="1:10" ht="37.25" customHeight="1" x14ac:dyDescent="0.55000000000000004">
      <c r="A2" s="19" t="s">
        <v>73</v>
      </c>
      <c r="B2" s="15" t="s">
        <v>74</v>
      </c>
      <c r="C2" s="16" t="s">
        <v>75</v>
      </c>
      <c r="D2" s="15" t="s">
        <v>76</v>
      </c>
      <c r="E2" s="15" t="s">
        <v>156</v>
      </c>
      <c r="F2" s="16" t="s">
        <v>77</v>
      </c>
      <c r="G2" s="15" t="s">
        <v>78</v>
      </c>
      <c r="H2" s="15" t="s">
        <v>240</v>
      </c>
      <c r="I2" s="15" t="s">
        <v>240</v>
      </c>
      <c r="J2" s="14" t="s">
        <v>93</v>
      </c>
    </row>
    <row r="3" spans="1:10" ht="15.75" customHeight="1" x14ac:dyDescent="0.55000000000000004">
      <c r="A3" s="5" t="s">
        <v>183</v>
      </c>
      <c r="B3" s="20">
        <v>3301</v>
      </c>
      <c r="C3" s="3" t="s">
        <v>68</v>
      </c>
      <c r="D3" s="3"/>
      <c r="E3" s="3"/>
      <c r="F3" s="7" t="s">
        <v>184</v>
      </c>
      <c r="G3" s="4" t="s">
        <v>185</v>
      </c>
      <c r="H3" s="40">
        <f t="shared" ref="H3:H8" si="0">HYPERLINK("https://www.nite.go.jp/nbrc/catalogue/NBRCMediumDetailServlet?NO=000802",802)</f>
        <v>802</v>
      </c>
      <c r="I3" s="40"/>
      <c r="J3" s="11"/>
    </row>
    <row r="4" spans="1:10" x14ac:dyDescent="0.55000000000000004">
      <c r="A4" s="5" t="s">
        <v>79</v>
      </c>
      <c r="B4" s="21">
        <v>3848</v>
      </c>
      <c r="C4" s="3" t="s">
        <v>68</v>
      </c>
      <c r="D4" s="3" t="s">
        <v>72</v>
      </c>
      <c r="E4" s="3" t="s">
        <v>92</v>
      </c>
      <c r="F4" s="7" t="s">
        <v>18</v>
      </c>
      <c r="G4" s="4" t="s">
        <v>81</v>
      </c>
      <c r="H4" s="40">
        <f t="shared" si="0"/>
        <v>802</v>
      </c>
      <c r="I4" s="40"/>
      <c r="J4" s="11"/>
    </row>
    <row r="5" spans="1:10" x14ac:dyDescent="0.55000000000000004">
      <c r="A5" s="10" t="s">
        <v>87</v>
      </c>
      <c r="B5" s="22">
        <v>3972</v>
      </c>
      <c r="C5" s="9" t="s">
        <v>88</v>
      </c>
      <c r="D5" s="3"/>
      <c r="E5" s="3" t="s">
        <v>91</v>
      </c>
      <c r="F5" s="9" t="s">
        <v>47</v>
      </c>
      <c r="G5" s="9" t="s">
        <v>89</v>
      </c>
      <c r="H5" s="41">
        <f t="shared" si="0"/>
        <v>802</v>
      </c>
      <c r="I5" s="41"/>
      <c r="J5" s="9"/>
    </row>
    <row r="6" spans="1:10" x14ac:dyDescent="0.55000000000000004">
      <c r="A6" s="10" t="s">
        <v>90</v>
      </c>
      <c r="B6" s="22">
        <v>12010</v>
      </c>
      <c r="C6" s="9" t="s">
        <v>88</v>
      </c>
      <c r="D6" s="3"/>
      <c r="E6" s="3" t="s">
        <v>91</v>
      </c>
      <c r="F6" s="9" t="s">
        <v>47</v>
      </c>
      <c r="G6" s="9" t="s">
        <v>89</v>
      </c>
      <c r="H6" s="41">
        <f t="shared" si="0"/>
        <v>802</v>
      </c>
      <c r="I6" s="41"/>
      <c r="J6" s="9"/>
    </row>
    <row r="7" spans="1:10" x14ac:dyDescent="0.55000000000000004">
      <c r="A7" s="5" t="s">
        <v>20</v>
      </c>
      <c r="B7" s="21">
        <v>12072</v>
      </c>
      <c r="C7" s="3" t="s">
        <v>68</v>
      </c>
      <c r="D7" s="3"/>
      <c r="E7" s="3"/>
      <c r="F7" s="7" t="s">
        <v>21</v>
      </c>
      <c r="G7" s="4" t="s">
        <v>22</v>
      </c>
      <c r="H7" s="40">
        <f t="shared" si="0"/>
        <v>802</v>
      </c>
      <c r="I7" s="40"/>
      <c r="J7" s="11"/>
    </row>
    <row r="8" spans="1:10" x14ac:dyDescent="0.55000000000000004">
      <c r="A8" s="5" t="s">
        <v>20</v>
      </c>
      <c r="B8" s="21">
        <v>12612</v>
      </c>
      <c r="C8" s="3" t="s">
        <v>68</v>
      </c>
      <c r="D8" s="3" t="s">
        <v>72</v>
      </c>
      <c r="E8" s="3"/>
      <c r="F8" s="7" t="s">
        <v>21</v>
      </c>
      <c r="G8" s="4" t="s">
        <v>22</v>
      </c>
      <c r="H8" s="40">
        <f t="shared" si="0"/>
        <v>802</v>
      </c>
      <c r="I8" s="40"/>
      <c r="J8" s="11"/>
    </row>
    <row r="9" spans="1:10" x14ac:dyDescent="0.55000000000000004">
      <c r="A9" s="5" t="s">
        <v>23</v>
      </c>
      <c r="B9" s="3">
        <v>14291</v>
      </c>
      <c r="C9" s="3" t="s">
        <v>68</v>
      </c>
      <c r="D9" s="3" t="s">
        <v>72</v>
      </c>
      <c r="E9" s="3"/>
      <c r="F9" s="7" t="s">
        <v>24</v>
      </c>
      <c r="G9" s="4" t="s">
        <v>8</v>
      </c>
      <c r="H9" s="39">
        <f>HYPERLINK("https://www.nite.go.jp/nbrc/catalogue/NBRCMediumDetailServlet?NO=000902",902)</f>
        <v>902</v>
      </c>
      <c r="I9" s="39">
        <f>HYPERLINK("https://www.nite.go.jp/nbrc/catalogue/NBRCMediumDetailServlet?NO=000312",312)</f>
        <v>312</v>
      </c>
      <c r="J9" s="11" t="s">
        <v>85</v>
      </c>
    </row>
    <row r="10" spans="1:10" x14ac:dyDescent="0.55000000000000004">
      <c r="A10" s="5" t="s">
        <v>201</v>
      </c>
      <c r="B10" s="3">
        <v>14850</v>
      </c>
      <c r="C10" s="3" t="s">
        <v>68</v>
      </c>
      <c r="D10" s="3" t="s">
        <v>72</v>
      </c>
      <c r="E10" s="3" t="s">
        <v>91</v>
      </c>
      <c r="F10" s="7" t="s">
        <v>25</v>
      </c>
      <c r="G10" s="3" t="s">
        <v>26</v>
      </c>
      <c r="H10" s="39">
        <f>HYPERLINK("https://www.nite.go.jp/nbrc/catalogue/NBRCMediumDetailServlet?NO=000823",823)</f>
        <v>823</v>
      </c>
      <c r="I10" s="39">
        <f>HYPERLINK("https://www.nite.go.jp/nbrc/catalogue/NBRCMediumDetailServlet?NO=000267",267)</f>
        <v>267</v>
      </c>
      <c r="J10" s="11"/>
    </row>
    <row r="11" spans="1:10" x14ac:dyDescent="0.55000000000000004">
      <c r="A11" s="5" t="s">
        <v>27</v>
      </c>
      <c r="B11" s="21">
        <v>15380</v>
      </c>
      <c r="C11" s="3" t="s">
        <v>68</v>
      </c>
      <c r="D11" s="3" t="s">
        <v>72</v>
      </c>
      <c r="E11" s="3"/>
      <c r="F11" s="7" t="s">
        <v>28</v>
      </c>
      <c r="G11" s="4" t="s">
        <v>29</v>
      </c>
      <c r="H11" s="40">
        <f>HYPERLINK("https://www.nite.go.jp/nbrc/catalogue/NBRCMediumDetailServlet?NO=000802",802)</f>
        <v>802</v>
      </c>
      <c r="I11" s="40"/>
      <c r="J11" s="11"/>
    </row>
    <row r="12" spans="1:10" x14ac:dyDescent="0.55000000000000004">
      <c r="A12" s="5" t="s">
        <v>30</v>
      </c>
      <c r="B12" s="21">
        <v>15521</v>
      </c>
      <c r="C12" s="3" t="s">
        <v>68</v>
      </c>
      <c r="D12" s="3" t="s">
        <v>72</v>
      </c>
      <c r="E12" s="3"/>
      <c r="F12" s="7" t="s">
        <v>24</v>
      </c>
      <c r="G12" s="4" t="s">
        <v>8</v>
      </c>
      <c r="H12" s="40">
        <f>HYPERLINK("https://www.nite.go.jp/nbrc/catalogue/NBRCMediumDetailServlet?NO=000802",802)</f>
        <v>802</v>
      </c>
      <c r="I12" s="40"/>
      <c r="J12" s="11"/>
    </row>
    <row r="13" spans="1:10" x14ac:dyDescent="0.55000000000000004">
      <c r="A13" s="5" t="s">
        <v>31</v>
      </c>
      <c r="B13" s="21">
        <v>15653</v>
      </c>
      <c r="C13" s="3" t="s">
        <v>68</v>
      </c>
      <c r="D13" s="3" t="s">
        <v>72</v>
      </c>
      <c r="E13" s="3"/>
      <c r="F13" s="7" t="s">
        <v>24</v>
      </c>
      <c r="G13" s="4" t="s">
        <v>8</v>
      </c>
      <c r="H13" s="40">
        <f>HYPERLINK("https://www.nite.go.jp/nbrc/catalogue/NBRCMediumDetailServlet?NO=000316",316)</f>
        <v>316</v>
      </c>
      <c r="I13" s="40"/>
      <c r="J13" s="11"/>
    </row>
    <row r="14" spans="1:10" ht="30" x14ac:dyDescent="0.55000000000000004">
      <c r="A14" s="5" t="s">
        <v>202</v>
      </c>
      <c r="B14" s="3">
        <v>15892</v>
      </c>
      <c r="C14" s="3" t="s">
        <v>68</v>
      </c>
      <c r="D14" s="3" t="s">
        <v>72</v>
      </c>
      <c r="E14" s="3"/>
      <c r="F14" s="7" t="s">
        <v>32</v>
      </c>
      <c r="G14" s="3" t="s">
        <v>33</v>
      </c>
      <c r="H14" s="39">
        <f>HYPERLINK("https://www.nite.go.jp/nbrc/catalogue/NBRCMediumDetailServlet?NO=000310",310)</f>
        <v>310</v>
      </c>
      <c r="I14" s="39"/>
      <c r="J14" s="11" t="s">
        <v>94</v>
      </c>
    </row>
    <row r="15" spans="1:10" x14ac:dyDescent="0.55000000000000004">
      <c r="A15" s="5" t="s">
        <v>86</v>
      </c>
      <c r="B15" s="21">
        <v>100015</v>
      </c>
      <c r="C15" s="3" t="s">
        <v>68</v>
      </c>
      <c r="D15" s="3" t="s">
        <v>72</v>
      </c>
      <c r="E15" s="3"/>
      <c r="F15" s="7" t="s">
        <v>37</v>
      </c>
      <c r="G15" s="4" t="s">
        <v>22</v>
      </c>
      <c r="H15" s="40">
        <f>HYPERLINK("https://www.nite.go.jp/nbrc/catalogue/NBRCMediumDetailServlet?NO=000385",385)</f>
        <v>385</v>
      </c>
      <c r="I15" s="40"/>
      <c r="J15" s="11" t="s">
        <v>84</v>
      </c>
    </row>
    <row r="16" spans="1:10" ht="30" x14ac:dyDescent="0.55000000000000004">
      <c r="A16" s="5" t="s">
        <v>38</v>
      </c>
      <c r="B16" s="21">
        <v>100477</v>
      </c>
      <c r="C16" s="3" t="s">
        <v>68</v>
      </c>
      <c r="D16" s="3" t="s">
        <v>72</v>
      </c>
      <c r="E16" s="3" t="s">
        <v>92</v>
      </c>
      <c r="F16" s="7" t="s">
        <v>39</v>
      </c>
      <c r="G16" s="4" t="s">
        <v>83</v>
      </c>
      <c r="H16" s="39">
        <f>HYPERLINK("https://www.nite.go.jp/nbrc/catalogue/NBRCMediumDetailServlet?NO=000814",814)</f>
        <v>814</v>
      </c>
      <c r="I16" s="39">
        <f>HYPERLINK("https://www.nite.go.jp/nbrc/catalogue/NBRCMediumDetailServlet?NO=000310",310)</f>
        <v>310</v>
      </c>
      <c r="J16" s="11" t="s">
        <v>94</v>
      </c>
    </row>
    <row r="17" spans="1:10" ht="30" x14ac:dyDescent="0.55000000000000004">
      <c r="A17" s="5" t="s">
        <v>40</v>
      </c>
      <c r="B17" s="21">
        <v>100602</v>
      </c>
      <c r="C17" s="3" t="s">
        <v>68</v>
      </c>
      <c r="D17" s="3"/>
      <c r="E17" s="3" t="s">
        <v>91</v>
      </c>
      <c r="F17" s="7" t="s">
        <v>41</v>
      </c>
      <c r="G17" s="4" t="s">
        <v>8</v>
      </c>
      <c r="H17" s="40">
        <f>HYPERLINK("https://www.nite.go.jp/nbrc/catalogue/NBRCMediumDetailServlet?NO=000804",804)</f>
        <v>804</v>
      </c>
      <c r="I17" s="40"/>
      <c r="J17" s="11" t="s">
        <v>94</v>
      </c>
    </row>
    <row r="18" spans="1:10" x14ac:dyDescent="0.55000000000000004">
      <c r="A18" s="5" t="s">
        <v>42</v>
      </c>
      <c r="B18" s="21">
        <v>102419</v>
      </c>
      <c r="C18" s="3" t="s">
        <v>68</v>
      </c>
      <c r="D18" s="3" t="s">
        <v>72</v>
      </c>
      <c r="E18" s="3" t="s">
        <v>92</v>
      </c>
      <c r="F18" s="7" t="s">
        <v>43</v>
      </c>
      <c r="G18" s="4" t="s">
        <v>8</v>
      </c>
      <c r="H18" s="40">
        <f>HYPERLINK("https://www.nite.go.jp/nbrc/catalogue/NBRCMediumDetailServlet?NO=000802",802)</f>
        <v>802</v>
      </c>
      <c r="I18" s="40"/>
      <c r="J18" s="11"/>
    </row>
    <row r="19" spans="1:10" x14ac:dyDescent="0.55000000000000004">
      <c r="A19" s="5" t="s">
        <v>44</v>
      </c>
      <c r="B19" s="21">
        <v>103150</v>
      </c>
      <c r="C19" s="3" t="s">
        <v>68</v>
      </c>
      <c r="D19" s="3" t="s">
        <v>72</v>
      </c>
      <c r="E19" s="3" t="s">
        <v>91</v>
      </c>
      <c r="F19" s="7" t="s">
        <v>24</v>
      </c>
      <c r="G19" s="4" t="s">
        <v>8</v>
      </c>
      <c r="H19" s="40">
        <f>HYPERLINK("https://www.nite.go.jp/nbrc/catalogue/NBRCMediumDetailServlet?NO=000340",340)</f>
        <v>340</v>
      </c>
      <c r="I19" s="40"/>
      <c r="J19" s="11"/>
    </row>
    <row r="20" spans="1:10" ht="30" x14ac:dyDescent="0.55000000000000004">
      <c r="A20" s="5" t="s">
        <v>46</v>
      </c>
      <c r="B20" s="21">
        <v>105687</v>
      </c>
      <c r="C20" s="3" t="s">
        <v>68</v>
      </c>
      <c r="D20" s="3" t="s">
        <v>72</v>
      </c>
      <c r="E20" s="3" t="s">
        <v>92</v>
      </c>
      <c r="F20" s="7" t="s">
        <v>47</v>
      </c>
      <c r="G20" s="4" t="s">
        <v>2</v>
      </c>
      <c r="H20" s="39">
        <f t="shared" ref="H20:H25" si="1">HYPERLINK("https://www.nite.go.jp/nbrc/catalogue/NBRCMediumDetailServlet?NO=000954",954)</f>
        <v>954</v>
      </c>
      <c r="I20" s="39">
        <f t="shared" ref="I20:I25" si="2">HYPERLINK("https://www.nite.go.jp/nbrc/catalogue/NBRCMediumDetailServlet?NO=000802",802)</f>
        <v>802</v>
      </c>
      <c r="J20" s="11" t="s">
        <v>94</v>
      </c>
    </row>
    <row r="21" spans="1:10" ht="30" x14ac:dyDescent="0.55000000000000004">
      <c r="A21" s="5" t="s">
        <v>48</v>
      </c>
      <c r="B21" s="21">
        <v>105688</v>
      </c>
      <c r="C21" s="3" t="s">
        <v>68</v>
      </c>
      <c r="D21" s="3" t="s">
        <v>72</v>
      </c>
      <c r="E21" s="3" t="s">
        <v>92</v>
      </c>
      <c r="F21" s="7" t="s">
        <v>24</v>
      </c>
      <c r="G21" s="4" t="s">
        <v>8</v>
      </c>
      <c r="H21" s="39">
        <f t="shared" si="1"/>
        <v>954</v>
      </c>
      <c r="I21" s="39">
        <f t="shared" si="2"/>
        <v>802</v>
      </c>
      <c r="J21" s="11" t="s">
        <v>94</v>
      </c>
    </row>
    <row r="22" spans="1:10" ht="30" x14ac:dyDescent="0.55000000000000004">
      <c r="A22" s="5" t="s">
        <v>49</v>
      </c>
      <c r="B22" s="21">
        <v>105702</v>
      </c>
      <c r="C22" s="3" t="s">
        <v>68</v>
      </c>
      <c r="D22" s="3" t="s">
        <v>72</v>
      </c>
      <c r="E22" s="3" t="s">
        <v>92</v>
      </c>
      <c r="F22" s="7" t="s">
        <v>24</v>
      </c>
      <c r="G22" s="4" t="s">
        <v>8</v>
      </c>
      <c r="H22" s="39">
        <f t="shared" si="1"/>
        <v>954</v>
      </c>
      <c r="I22" s="39">
        <f t="shared" si="2"/>
        <v>802</v>
      </c>
      <c r="J22" s="11" t="s">
        <v>94</v>
      </c>
    </row>
    <row r="23" spans="1:10" ht="30" x14ac:dyDescent="0.55000000000000004">
      <c r="A23" s="5" t="s">
        <v>50</v>
      </c>
      <c r="B23" s="21">
        <v>105717</v>
      </c>
      <c r="C23" s="3" t="s">
        <v>68</v>
      </c>
      <c r="D23" s="3" t="s">
        <v>72</v>
      </c>
      <c r="E23" s="3"/>
      <c r="F23" s="7" t="s">
        <v>24</v>
      </c>
      <c r="G23" s="4" t="s">
        <v>8</v>
      </c>
      <c r="H23" s="39">
        <f t="shared" si="1"/>
        <v>954</v>
      </c>
      <c r="I23" s="39">
        <f t="shared" si="2"/>
        <v>802</v>
      </c>
      <c r="J23" s="11" t="s">
        <v>94</v>
      </c>
    </row>
    <row r="24" spans="1:10" ht="30" x14ac:dyDescent="0.55000000000000004">
      <c r="A24" s="5" t="s">
        <v>51</v>
      </c>
      <c r="B24" s="21">
        <v>105722</v>
      </c>
      <c r="C24" s="3" t="s">
        <v>68</v>
      </c>
      <c r="D24" s="3" t="s">
        <v>72</v>
      </c>
      <c r="E24" s="3" t="s">
        <v>92</v>
      </c>
      <c r="F24" s="7" t="s">
        <v>24</v>
      </c>
      <c r="G24" s="4" t="s">
        <v>8</v>
      </c>
      <c r="H24" s="39">
        <f t="shared" si="1"/>
        <v>954</v>
      </c>
      <c r="I24" s="39">
        <f t="shared" si="2"/>
        <v>802</v>
      </c>
      <c r="J24" s="11" t="s">
        <v>94</v>
      </c>
    </row>
    <row r="25" spans="1:10" ht="30" x14ac:dyDescent="0.55000000000000004">
      <c r="A25" s="5" t="s">
        <v>80</v>
      </c>
      <c r="B25" s="21">
        <v>105726</v>
      </c>
      <c r="C25" s="3" t="s">
        <v>68</v>
      </c>
      <c r="D25" s="3"/>
      <c r="E25" s="3" t="s">
        <v>91</v>
      </c>
      <c r="F25" s="7" t="s">
        <v>52</v>
      </c>
      <c r="G25" s="4" t="s">
        <v>53</v>
      </c>
      <c r="H25" s="39">
        <f t="shared" si="1"/>
        <v>954</v>
      </c>
      <c r="I25" s="39">
        <f t="shared" si="2"/>
        <v>802</v>
      </c>
      <c r="J25" s="11" t="s">
        <v>94</v>
      </c>
    </row>
    <row r="26" spans="1:10" ht="30" x14ac:dyDescent="0.55000000000000004">
      <c r="A26" s="5" t="s">
        <v>203</v>
      </c>
      <c r="B26" s="3">
        <v>107147</v>
      </c>
      <c r="C26" s="3" t="s">
        <v>68</v>
      </c>
      <c r="D26" s="3" t="s">
        <v>72</v>
      </c>
      <c r="E26" s="3"/>
      <c r="F26" s="7" t="s">
        <v>24</v>
      </c>
      <c r="G26" s="3" t="s">
        <v>8</v>
      </c>
      <c r="H26" s="39">
        <f>HYPERLINK("https://www.nite.go.jp/nbrc/catalogue/NBRCMediumDetailServlet?NO=000310",310)</f>
        <v>310</v>
      </c>
      <c r="I26" s="39"/>
      <c r="J26" s="11" t="s">
        <v>94</v>
      </c>
    </row>
    <row r="27" spans="1:10" ht="30" x14ac:dyDescent="0.55000000000000004">
      <c r="A27" s="5" t="s">
        <v>54</v>
      </c>
      <c r="B27" s="21">
        <v>107761</v>
      </c>
      <c r="C27" s="3" t="s">
        <v>68</v>
      </c>
      <c r="D27" s="3" t="s">
        <v>72</v>
      </c>
      <c r="E27" s="3" t="s">
        <v>91</v>
      </c>
      <c r="F27" s="7" t="s">
        <v>55</v>
      </c>
      <c r="G27" s="4" t="s">
        <v>56</v>
      </c>
      <c r="H27" s="39">
        <f>HYPERLINK("https://www.nite.go.jp/nbrc/catalogue/NBRCMediumDetailServlet?NO=000954",954)</f>
        <v>954</v>
      </c>
      <c r="I27" s="39">
        <f>HYPERLINK("https://www.nite.go.jp/nbrc/catalogue/NBRCMediumDetailServlet?NO=000802",802)</f>
        <v>802</v>
      </c>
      <c r="J27" s="11" t="s">
        <v>94</v>
      </c>
    </row>
    <row r="28" spans="1:10" x14ac:dyDescent="0.55000000000000004">
      <c r="A28" s="5" t="s">
        <v>59</v>
      </c>
      <c r="B28" s="21">
        <v>109957</v>
      </c>
      <c r="C28" s="3" t="s">
        <v>68</v>
      </c>
      <c r="D28" s="3" t="s">
        <v>72</v>
      </c>
      <c r="E28" s="3"/>
      <c r="F28" s="7" t="s">
        <v>60</v>
      </c>
      <c r="G28" s="4" t="s">
        <v>8</v>
      </c>
      <c r="H28" s="40">
        <f>HYPERLINK("https://www.nite.go.jp/nbrc/catalogue/NBRCMediumDetailServlet?NO=001361",1361)</f>
        <v>1361</v>
      </c>
      <c r="I28" s="40"/>
      <c r="J28" s="11" t="s">
        <v>84</v>
      </c>
    </row>
    <row r="29" spans="1:10" ht="30" x14ac:dyDescent="0.55000000000000004">
      <c r="A29" s="5" t="s">
        <v>204</v>
      </c>
      <c r="B29" s="3">
        <v>111693</v>
      </c>
      <c r="C29" s="3" t="s">
        <v>68</v>
      </c>
      <c r="D29" s="3"/>
      <c r="E29" s="3"/>
      <c r="F29" s="7" t="s">
        <v>61</v>
      </c>
      <c r="G29" s="3" t="s">
        <v>62</v>
      </c>
      <c r="H29" s="39">
        <f>HYPERLINK("https://www.nite.go.jp/nbrc/catalogue/NBRCMediumDetailServlet?NO=000310",310)</f>
        <v>310</v>
      </c>
      <c r="I29" s="39"/>
      <c r="J29" s="11" t="s">
        <v>94</v>
      </c>
    </row>
    <row r="30" spans="1:10" x14ac:dyDescent="0.55000000000000004">
      <c r="A30" s="5" t="s">
        <v>63</v>
      </c>
      <c r="B30" s="21">
        <v>113350</v>
      </c>
      <c r="C30" s="3" t="s">
        <v>68</v>
      </c>
      <c r="D30" s="3"/>
      <c r="E30" s="3" t="s">
        <v>92</v>
      </c>
      <c r="F30" s="7" t="s">
        <v>24</v>
      </c>
      <c r="G30" s="4" t="s">
        <v>8</v>
      </c>
      <c r="H30" s="40">
        <f t="shared" ref="H30:H35" si="3">HYPERLINK("https://www.nite.go.jp/nbrc/catalogue/NBRCMediumDetailServlet?NO=000312",312)</f>
        <v>312</v>
      </c>
      <c r="I30" s="40"/>
      <c r="J30" s="11" t="s">
        <v>84</v>
      </c>
    </row>
    <row r="31" spans="1:10" x14ac:dyDescent="0.55000000000000004">
      <c r="A31" s="5" t="s">
        <v>205</v>
      </c>
      <c r="B31" s="21">
        <v>113352</v>
      </c>
      <c r="C31" s="3" t="s">
        <v>68</v>
      </c>
      <c r="D31" s="3"/>
      <c r="E31" s="3" t="s">
        <v>92</v>
      </c>
      <c r="F31" s="7" t="s">
        <v>24</v>
      </c>
      <c r="G31" s="4" t="s">
        <v>8</v>
      </c>
      <c r="H31" s="40">
        <f t="shared" si="3"/>
        <v>312</v>
      </c>
      <c r="I31" s="40"/>
      <c r="J31" s="11" t="s">
        <v>84</v>
      </c>
    </row>
    <row r="32" spans="1:10" x14ac:dyDescent="0.55000000000000004">
      <c r="A32" s="5" t="s">
        <v>64</v>
      </c>
      <c r="B32" s="21">
        <v>113353</v>
      </c>
      <c r="C32" s="3" t="s">
        <v>68</v>
      </c>
      <c r="D32" s="3"/>
      <c r="E32" s="3"/>
      <c r="F32" s="7" t="s">
        <v>24</v>
      </c>
      <c r="G32" s="4" t="s">
        <v>8</v>
      </c>
      <c r="H32" s="40">
        <f t="shared" si="3"/>
        <v>312</v>
      </c>
      <c r="I32" s="40"/>
      <c r="J32" s="11" t="s">
        <v>84</v>
      </c>
    </row>
    <row r="33" spans="1:10" x14ac:dyDescent="0.55000000000000004">
      <c r="A33" s="5" t="s">
        <v>65</v>
      </c>
      <c r="B33" s="21">
        <v>113804</v>
      </c>
      <c r="C33" s="3" t="s">
        <v>68</v>
      </c>
      <c r="D33" s="3"/>
      <c r="E33" s="3" t="s">
        <v>92</v>
      </c>
      <c r="F33" s="7" t="s">
        <v>24</v>
      </c>
      <c r="G33" s="4" t="s">
        <v>8</v>
      </c>
      <c r="H33" s="40">
        <f t="shared" si="3"/>
        <v>312</v>
      </c>
      <c r="I33" s="40"/>
      <c r="J33" s="11" t="s">
        <v>84</v>
      </c>
    </row>
    <row r="34" spans="1:10" x14ac:dyDescent="0.55000000000000004">
      <c r="A34" s="5" t="s">
        <v>66</v>
      </c>
      <c r="B34" s="21">
        <v>113805</v>
      </c>
      <c r="C34" s="3" t="s">
        <v>68</v>
      </c>
      <c r="D34" s="3"/>
      <c r="E34" s="3"/>
      <c r="F34" s="7" t="s">
        <v>24</v>
      </c>
      <c r="G34" s="4" t="s">
        <v>8</v>
      </c>
      <c r="H34" s="40">
        <f t="shared" si="3"/>
        <v>312</v>
      </c>
      <c r="I34" s="40"/>
      <c r="J34" s="11" t="s">
        <v>84</v>
      </c>
    </row>
    <row r="35" spans="1:10" x14ac:dyDescent="0.55000000000000004">
      <c r="A35" s="5" t="s">
        <v>67</v>
      </c>
      <c r="B35" s="21">
        <v>113806</v>
      </c>
      <c r="C35" s="3" t="s">
        <v>68</v>
      </c>
      <c r="D35" s="3"/>
      <c r="E35" s="3" t="s">
        <v>92</v>
      </c>
      <c r="F35" s="7" t="s">
        <v>24</v>
      </c>
      <c r="G35" s="4" t="s">
        <v>8</v>
      </c>
      <c r="H35" s="40">
        <f t="shared" si="3"/>
        <v>312</v>
      </c>
      <c r="I35" s="40"/>
      <c r="J35" s="11" t="s">
        <v>84</v>
      </c>
    </row>
    <row r="36" spans="1:10" x14ac:dyDescent="0.55000000000000004">
      <c r="A36" s="27" t="s">
        <v>186</v>
      </c>
      <c r="B36" s="28">
        <v>114322</v>
      </c>
      <c r="C36" s="4" t="s">
        <v>68</v>
      </c>
      <c r="D36" s="4"/>
      <c r="E36" s="4"/>
      <c r="F36" s="29" t="s">
        <v>187</v>
      </c>
      <c r="G36" s="4" t="s">
        <v>188</v>
      </c>
      <c r="H36" s="42">
        <f>HYPERLINK("https://www.nite.go.jp/nbrc/catalogue/NBRCMediumDetailServlet?NO=001534",1534)</f>
        <v>1534</v>
      </c>
      <c r="I36" s="42">
        <f>HYPERLINK("https://www.nite.go.jp/nbrc/catalogue/NBRCMediumDetailServlet?NO=001535",1535)</f>
        <v>1535</v>
      </c>
      <c r="J36" s="30" t="s">
        <v>84</v>
      </c>
    </row>
    <row r="37" spans="1:10" x14ac:dyDescent="0.55000000000000004">
      <c r="A37" s="27" t="s">
        <v>190</v>
      </c>
      <c r="B37" s="4">
        <v>114370</v>
      </c>
      <c r="C37" s="4" t="s">
        <v>95</v>
      </c>
      <c r="D37" s="4"/>
      <c r="E37" s="4"/>
      <c r="F37" s="29" t="s">
        <v>187</v>
      </c>
      <c r="G37" s="4" t="s">
        <v>83</v>
      </c>
      <c r="H37" s="42">
        <f>HYPERLINK("https://www.nite.go.jp/nbrc/catalogue/NBRCMediumDetailServlet?NO=001534",1534)</f>
        <v>1534</v>
      </c>
      <c r="I37" s="42">
        <f>HYPERLINK("https://www.nite.go.jp/nbrc/catalogue/NBRCMediumDetailServlet?NO=001535",1535)</f>
        <v>1535</v>
      </c>
      <c r="J37" s="30" t="s">
        <v>84</v>
      </c>
    </row>
    <row r="38" spans="1:10" x14ac:dyDescent="0.55000000000000004">
      <c r="A38" s="27" t="s">
        <v>191</v>
      </c>
      <c r="B38" s="4">
        <v>114412</v>
      </c>
      <c r="C38" s="4" t="s">
        <v>95</v>
      </c>
      <c r="D38" s="4"/>
      <c r="E38" s="4"/>
      <c r="F38" s="29" t="s">
        <v>192</v>
      </c>
      <c r="G38" s="4" t="s">
        <v>83</v>
      </c>
      <c r="H38" s="42">
        <f>HYPERLINK("https://www.nite.go.jp/nbrc/catalogue/NBRCMediumDetailServlet?NO=001534",1534)</f>
        <v>1534</v>
      </c>
      <c r="I38" s="42">
        <f>HYPERLINK("https://www.nite.go.jp/nbrc/catalogue/NBRCMediumDetailServlet?NO=001535",1535)</f>
        <v>1535</v>
      </c>
      <c r="J38" s="30" t="s">
        <v>84</v>
      </c>
    </row>
    <row r="39" spans="1:10" x14ac:dyDescent="0.55000000000000004">
      <c r="A39" s="27" t="s">
        <v>193</v>
      </c>
      <c r="B39" s="4">
        <v>114413</v>
      </c>
      <c r="C39" s="4" t="s">
        <v>95</v>
      </c>
      <c r="D39" s="4"/>
      <c r="E39" s="4"/>
      <c r="F39" s="29" t="s">
        <v>194</v>
      </c>
      <c r="G39" s="4" t="s">
        <v>83</v>
      </c>
      <c r="H39" s="42">
        <f>HYPERLINK("https://www.nite.go.jp/nbrc/catalogue/NBRCMediumDetailServlet?NO=001534",1534)</f>
        <v>1534</v>
      </c>
      <c r="I39" s="42">
        <f>HYPERLINK("https://www.nite.go.jp/nbrc/catalogue/NBRCMediumDetailServlet?NO=001535",1535)</f>
        <v>1535</v>
      </c>
      <c r="J39" s="30" t="s">
        <v>84</v>
      </c>
    </row>
    <row r="40" spans="1:10" ht="15" customHeight="1" x14ac:dyDescent="0.55000000000000004">
      <c r="A40" s="27" t="s">
        <v>197</v>
      </c>
      <c r="B40" s="4">
        <v>114415</v>
      </c>
      <c r="C40" s="4" t="s">
        <v>95</v>
      </c>
      <c r="D40" s="4"/>
      <c r="E40" s="4"/>
      <c r="F40" s="29" t="s">
        <v>198</v>
      </c>
      <c r="G40" s="4" t="s">
        <v>8</v>
      </c>
      <c r="H40" s="42">
        <f>HYPERLINK("https://www.nite.go.jp/nbrc/catalogue/NBRCMediumDetailServlet?NO=001534",1534)</f>
        <v>1534</v>
      </c>
      <c r="I40" s="42">
        <f>HYPERLINK("https://www.nite.go.jp/nbrc/catalogue/NBRCMediumDetailServlet?NO=001535",1535)</f>
        <v>1535</v>
      </c>
      <c r="J40" s="30" t="s">
        <v>85</v>
      </c>
    </row>
    <row r="41" spans="1:10" ht="15" customHeight="1" x14ac:dyDescent="0.55000000000000004">
      <c r="A41" s="27" t="s">
        <v>199</v>
      </c>
      <c r="B41" s="4">
        <v>114494</v>
      </c>
      <c r="C41" s="4" t="s">
        <v>95</v>
      </c>
      <c r="D41" s="4"/>
      <c r="E41" s="4"/>
      <c r="F41" s="29" t="s">
        <v>200</v>
      </c>
      <c r="G41" s="4" t="s">
        <v>83</v>
      </c>
      <c r="H41" s="42">
        <f>HYPERLINK("https://www.nite.go.jp/nbrc/catalogue/NBRCMediumDetailServlet?NO=001545",1545)</f>
        <v>1545</v>
      </c>
      <c r="I41" s="42">
        <f>HYPERLINK("https://www.nite.go.jp/nbrc/catalogue/NBRCMediumDetailServlet?NO=001509",1509)</f>
        <v>1509</v>
      </c>
      <c r="J41" s="30" t="s">
        <v>85</v>
      </c>
    </row>
    <row r="42" spans="1:10" x14ac:dyDescent="0.55000000000000004">
      <c r="A42" s="27" t="s">
        <v>195</v>
      </c>
      <c r="B42" s="4">
        <v>114520</v>
      </c>
      <c r="C42" s="4" t="s">
        <v>95</v>
      </c>
      <c r="D42" s="4"/>
      <c r="E42" s="4" t="s">
        <v>92</v>
      </c>
      <c r="F42" s="29" t="s">
        <v>196</v>
      </c>
      <c r="G42" s="4" t="s">
        <v>83</v>
      </c>
      <c r="H42" s="42">
        <f>HYPERLINK("https://www.nite.go.jp/nbrc/catalogue/NBRCMediumDetailServlet?NO=001534",1534)</f>
        <v>1534</v>
      </c>
      <c r="I42" s="42">
        <f>HYPERLINK("https://www.nite.go.jp/nbrc/catalogue/NBRCMediumDetailServlet?NO=001535",1535)</f>
        <v>1535</v>
      </c>
      <c r="J42" s="30" t="s">
        <v>84</v>
      </c>
    </row>
    <row r="43" spans="1:10" x14ac:dyDescent="0.55000000000000004">
      <c r="A43" s="5" t="s">
        <v>34</v>
      </c>
      <c r="B43" s="21">
        <v>31731</v>
      </c>
      <c r="C43" s="3" t="s">
        <v>69</v>
      </c>
      <c r="D43" s="3" t="s">
        <v>72</v>
      </c>
      <c r="E43" s="3"/>
      <c r="F43" s="7" t="s">
        <v>35</v>
      </c>
      <c r="G43" s="4" t="s">
        <v>36</v>
      </c>
      <c r="H43" s="40">
        <f>HYPERLINK("https://www.nite.go.jp/nbrc/catalogue/NBRCMediumDetailServlet?NO=000005",5)</f>
        <v>5</v>
      </c>
      <c r="I43" s="40"/>
      <c r="J43" s="11"/>
    </row>
    <row r="44" spans="1:10" x14ac:dyDescent="0.55000000000000004">
      <c r="A44" s="5" t="s">
        <v>0</v>
      </c>
      <c r="B44" s="21">
        <v>622</v>
      </c>
      <c r="C44" s="3" t="s">
        <v>70</v>
      </c>
      <c r="D44" s="3" t="s">
        <v>72</v>
      </c>
      <c r="E44" s="3"/>
      <c r="F44" s="7" t="s">
        <v>1</v>
      </c>
      <c r="G44" s="4" t="s">
        <v>2</v>
      </c>
      <c r="H44" s="40">
        <f t="shared" ref="H44:H52" si="4">HYPERLINK("https://www.nite.go.jp/nbrc/catalogue/NBRCMediumDetailServlet?NO=000108",108)</f>
        <v>108</v>
      </c>
      <c r="I44" s="40"/>
      <c r="J44" s="11"/>
    </row>
    <row r="45" spans="1:10" x14ac:dyDescent="0.55000000000000004">
      <c r="A45" s="5" t="s">
        <v>3</v>
      </c>
      <c r="B45" s="21">
        <v>745</v>
      </c>
      <c r="C45" s="3" t="s">
        <v>70</v>
      </c>
      <c r="D45" s="3" t="s">
        <v>72</v>
      </c>
      <c r="E45" s="3"/>
      <c r="F45" s="7" t="s">
        <v>4</v>
      </c>
      <c r="G45" s="4" t="s">
        <v>5</v>
      </c>
      <c r="H45" s="40">
        <f t="shared" si="4"/>
        <v>108</v>
      </c>
      <c r="I45" s="40"/>
      <c r="J45" s="11"/>
    </row>
    <row r="46" spans="1:10" x14ac:dyDescent="0.55000000000000004">
      <c r="A46" s="5" t="s">
        <v>6</v>
      </c>
      <c r="B46" s="21">
        <v>750</v>
      </c>
      <c r="C46" s="3" t="s">
        <v>70</v>
      </c>
      <c r="D46" s="3" t="s">
        <v>72</v>
      </c>
      <c r="E46" s="3"/>
      <c r="F46" s="7" t="s">
        <v>7</v>
      </c>
      <c r="G46" s="4" t="s">
        <v>8</v>
      </c>
      <c r="H46" s="40">
        <f t="shared" si="4"/>
        <v>108</v>
      </c>
      <c r="I46" s="40"/>
      <c r="J46" s="11"/>
    </row>
    <row r="47" spans="1:10" x14ac:dyDescent="0.55000000000000004">
      <c r="A47" s="5" t="s">
        <v>9</v>
      </c>
      <c r="B47" s="21">
        <v>761</v>
      </c>
      <c r="C47" s="3" t="s">
        <v>70</v>
      </c>
      <c r="D47" s="3" t="s">
        <v>72</v>
      </c>
      <c r="E47" s="3"/>
      <c r="F47" s="7" t="s">
        <v>1</v>
      </c>
      <c r="G47" s="4" t="s">
        <v>2</v>
      </c>
      <c r="H47" s="40">
        <f t="shared" si="4"/>
        <v>108</v>
      </c>
      <c r="I47" s="40"/>
      <c r="J47" s="11"/>
    </row>
    <row r="48" spans="1:10" x14ac:dyDescent="0.55000000000000004">
      <c r="A48" s="5" t="s">
        <v>10</v>
      </c>
      <c r="B48" s="21">
        <v>907</v>
      </c>
      <c r="C48" s="3" t="s">
        <v>70</v>
      </c>
      <c r="D48" s="3"/>
      <c r="E48" s="3"/>
      <c r="F48" s="7" t="s">
        <v>1</v>
      </c>
      <c r="G48" s="4" t="s">
        <v>2</v>
      </c>
      <c r="H48" s="40">
        <f t="shared" si="4"/>
        <v>108</v>
      </c>
      <c r="I48" s="40"/>
      <c r="J48" s="11"/>
    </row>
    <row r="49" spans="1:10" x14ac:dyDescent="0.55000000000000004">
      <c r="A49" s="5" t="s">
        <v>11</v>
      </c>
      <c r="B49" s="21">
        <v>966</v>
      </c>
      <c r="C49" s="3" t="s">
        <v>70</v>
      </c>
      <c r="D49" s="3" t="s">
        <v>72</v>
      </c>
      <c r="E49" s="3"/>
      <c r="F49" s="7" t="s">
        <v>7</v>
      </c>
      <c r="G49" s="4" t="s">
        <v>8</v>
      </c>
      <c r="H49" s="40">
        <f t="shared" si="4"/>
        <v>108</v>
      </c>
      <c r="I49" s="40"/>
      <c r="J49" s="11"/>
    </row>
    <row r="50" spans="1:10" x14ac:dyDescent="0.55000000000000004">
      <c r="A50" s="5" t="s">
        <v>12</v>
      </c>
      <c r="B50" s="21">
        <v>1014</v>
      </c>
      <c r="C50" s="3" t="s">
        <v>70</v>
      </c>
      <c r="D50" s="3"/>
      <c r="E50" s="3"/>
      <c r="F50" s="7" t="s">
        <v>7</v>
      </c>
      <c r="G50" s="4" t="s">
        <v>8</v>
      </c>
      <c r="H50" s="40">
        <f t="shared" si="4"/>
        <v>108</v>
      </c>
      <c r="I50" s="40"/>
      <c r="J50" s="11"/>
    </row>
    <row r="51" spans="1:10" x14ac:dyDescent="0.55000000000000004">
      <c r="A51" s="5" t="s">
        <v>13</v>
      </c>
      <c r="B51" s="21">
        <v>1162</v>
      </c>
      <c r="C51" s="3" t="s">
        <v>70</v>
      </c>
      <c r="D51" s="3"/>
      <c r="E51" s="3"/>
      <c r="F51" s="7" t="s">
        <v>14</v>
      </c>
      <c r="G51" s="4" t="s">
        <v>8</v>
      </c>
      <c r="H51" s="40">
        <f t="shared" si="4"/>
        <v>108</v>
      </c>
      <c r="I51" s="40"/>
      <c r="J51" s="11"/>
    </row>
    <row r="52" spans="1:10" x14ac:dyDescent="0.55000000000000004">
      <c r="A52" s="5" t="s">
        <v>15</v>
      </c>
      <c r="B52" s="21">
        <v>1435</v>
      </c>
      <c r="C52" s="3" t="s">
        <v>70</v>
      </c>
      <c r="D52" s="3"/>
      <c r="E52" s="3"/>
      <c r="F52" s="7" t="s">
        <v>16</v>
      </c>
      <c r="G52" s="4" t="s">
        <v>17</v>
      </c>
      <c r="H52" s="40">
        <f t="shared" si="4"/>
        <v>108</v>
      </c>
      <c r="I52" s="40"/>
      <c r="J52" s="11"/>
    </row>
    <row r="53" spans="1:10" x14ac:dyDescent="0.55000000000000004">
      <c r="A53" s="5" t="s">
        <v>19</v>
      </c>
      <c r="B53" s="21">
        <v>10870</v>
      </c>
      <c r="C53" s="3" t="s">
        <v>70</v>
      </c>
      <c r="D53" s="3"/>
      <c r="E53" s="3"/>
      <c r="F53" s="7" t="s">
        <v>1</v>
      </c>
      <c r="G53" s="4" t="s">
        <v>2</v>
      </c>
      <c r="H53" s="40">
        <f>HYPERLINK("https://www.nite.go.jp/nbrc/catalogue/NBRCMediumDetailServlet?NO=000112",112)</f>
        <v>112</v>
      </c>
      <c r="I53" s="40"/>
      <c r="J53" s="11"/>
    </row>
    <row r="54" spans="1:10" x14ac:dyDescent="0.55000000000000004">
      <c r="A54" s="5" t="s">
        <v>45</v>
      </c>
      <c r="B54" s="21">
        <v>103892</v>
      </c>
      <c r="C54" s="3" t="s">
        <v>70</v>
      </c>
      <c r="D54" s="3" t="s">
        <v>72</v>
      </c>
      <c r="E54" s="3"/>
      <c r="F54" s="7" t="s">
        <v>14</v>
      </c>
      <c r="G54" s="4" t="s">
        <v>8</v>
      </c>
      <c r="H54" s="39">
        <f>HYPERLINK("https://www.nite.go.jp/nbrc/catalogue/NBRCMediumDetailServlet?NO=000856",856)</f>
        <v>856</v>
      </c>
      <c r="I54" s="39">
        <f>HYPERLINK("https://www.nite.go.jp/nbrc/catalogue/NBRCMediumDetailServlet?NO=000108",108)</f>
        <v>108</v>
      </c>
      <c r="J54" s="11"/>
    </row>
    <row r="55" spans="1:10" x14ac:dyDescent="0.55000000000000004">
      <c r="A55" s="5" t="s">
        <v>57</v>
      </c>
      <c r="B55" s="3">
        <v>109505</v>
      </c>
      <c r="C55" s="3" t="s">
        <v>71</v>
      </c>
      <c r="D55" s="3"/>
      <c r="E55" s="3"/>
      <c r="F55" s="7" t="s">
        <v>82</v>
      </c>
      <c r="G55" s="4" t="s">
        <v>83</v>
      </c>
      <c r="H55" s="39">
        <f>HYPERLINK("https://www.nite.go.jp/nbrc/catalogue/NBRCMediumDetailServlet?NO=000802",802)</f>
        <v>802</v>
      </c>
      <c r="I55" s="39">
        <f>HYPERLINK("https://www.nite.go.jp/nbrc/catalogue/NBRCMediumDetailServlet?NO=001267",1267)</f>
        <v>1267</v>
      </c>
      <c r="J55" s="11"/>
    </row>
    <row r="56" spans="1:10" x14ac:dyDescent="0.55000000000000004">
      <c r="A56" s="5" t="s">
        <v>58</v>
      </c>
      <c r="B56" s="21">
        <v>109525</v>
      </c>
      <c r="C56" s="3" t="s">
        <v>71</v>
      </c>
      <c r="D56" s="3"/>
      <c r="E56" s="3"/>
      <c r="F56" s="7" t="s">
        <v>24</v>
      </c>
      <c r="G56" s="32" t="s">
        <v>8</v>
      </c>
      <c r="H56" s="39">
        <f>HYPERLINK("https://www.nite.go.jp/nbrc/catalogue/NBRCMediumDetailServlet?NO=000802",802)</f>
        <v>802</v>
      </c>
      <c r="I56" s="39">
        <f>HYPERLINK("https://www.nite.go.jp/nbrc/catalogue/NBRCMediumDetailServlet?NO=001267",1267)</f>
        <v>1267</v>
      </c>
      <c r="J56" s="11"/>
    </row>
    <row r="57" spans="1:10" ht="18" customHeight="1" x14ac:dyDescent="0.55000000000000004">
      <c r="A57" s="23" t="s">
        <v>208</v>
      </c>
      <c r="B57" s="24">
        <v>115031</v>
      </c>
      <c r="C57" s="24" t="s">
        <v>68</v>
      </c>
      <c r="D57" s="24"/>
      <c r="E57" s="24" t="s">
        <v>92</v>
      </c>
      <c r="F57" s="33" t="s">
        <v>210</v>
      </c>
      <c r="G57" s="34" t="s">
        <v>8</v>
      </c>
      <c r="H57" s="43">
        <f>HYPERLINK("https://www.nite.go.jp/nbrc/catalogue/NBRCMediumDetailServlet?NO=001534",1534)</f>
        <v>1534</v>
      </c>
      <c r="I57" s="43">
        <f>HYPERLINK("https://www.nite.go.jp/nbrc/catalogue/NBRCMediumDetailServlet?NO=001535",1535)</f>
        <v>1535</v>
      </c>
      <c r="J57" s="26" t="s">
        <v>84</v>
      </c>
    </row>
    <row r="58" spans="1:10" ht="30" x14ac:dyDescent="0.55000000000000004">
      <c r="A58" s="23" t="s">
        <v>207</v>
      </c>
      <c r="B58" s="24">
        <v>115032</v>
      </c>
      <c r="C58" s="24" t="s">
        <v>68</v>
      </c>
      <c r="D58" s="24"/>
      <c r="E58" s="24"/>
      <c r="F58" s="25" t="s">
        <v>209</v>
      </c>
      <c r="G58" s="34" t="s">
        <v>8</v>
      </c>
      <c r="H58" s="43">
        <f>HYPERLINK("https://www.nite.go.jp/nbrc/catalogue/NBRCMediumDetailServlet?NO=001534",1534)</f>
        <v>1534</v>
      </c>
      <c r="I58" s="43">
        <f>HYPERLINK("https://www.nite.go.jp/nbrc/catalogue/NBRCMediumDetailServlet?NO=001535",1535)</f>
        <v>1535</v>
      </c>
      <c r="J58" s="26" t="s">
        <v>84</v>
      </c>
    </row>
    <row r="59" spans="1:10" x14ac:dyDescent="0.55000000000000004">
      <c r="A59" s="6" t="s">
        <v>189</v>
      </c>
    </row>
  </sheetData>
  <autoFilter ref="B2:J59" xr:uid="{F4D41B48-4431-4855-95FA-1ECB59062032}"/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8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118C-9BE3-449C-BA9A-BFE71ABABC49}">
  <sheetPr>
    <tabColor rgb="FF00B0F0"/>
    <pageSetUpPr fitToPage="1"/>
  </sheetPr>
  <dimension ref="A1:K225"/>
  <sheetViews>
    <sheetView tabSelected="1" view="pageBreakPreview" zoomScale="85" zoomScaleNormal="55" zoomScaleSheetLayoutView="85" workbookViewId="0">
      <pane ySplit="3" topLeftCell="A117" activePane="bottomLeft" state="frozen"/>
      <selection pane="bottomLeft" activeCell="A79" sqref="A79"/>
    </sheetView>
  </sheetViews>
  <sheetFormatPr defaultColWidth="8.83203125" defaultRowHeight="18" x14ac:dyDescent="0.55000000000000004"/>
  <cols>
    <col min="1" max="1" width="28.5" style="38" customWidth="1"/>
    <col min="2" max="2" width="12" style="37" customWidth="1"/>
    <col min="3" max="3" width="7.4140625" style="37" customWidth="1"/>
    <col min="4" max="4" width="8.58203125" style="38" customWidth="1"/>
    <col min="5" max="5" width="28.4140625" style="38" customWidth="1"/>
    <col min="6" max="6" width="10.9140625" style="38" customWidth="1"/>
    <col min="7" max="8" width="11.6640625" style="38" customWidth="1"/>
    <col min="9" max="9" width="25.58203125" style="38" customWidth="1"/>
    <col min="10" max="10" width="17" style="1" customWidth="1"/>
    <col min="11" max="16384" width="8.83203125" style="35"/>
  </cols>
  <sheetData>
    <row r="1" spans="1:11" x14ac:dyDescent="0.55000000000000004">
      <c r="A1" s="44" t="s">
        <v>448</v>
      </c>
    </row>
    <row r="2" spans="1:11" ht="40.25" customHeight="1" thickBot="1" x14ac:dyDescent="0.4">
      <c r="A2" s="76" t="s">
        <v>449</v>
      </c>
      <c r="B2" s="76"/>
      <c r="C2" s="76"/>
      <c r="D2" s="76"/>
      <c r="E2" s="76"/>
      <c r="F2" s="76"/>
      <c r="G2" s="76"/>
      <c r="H2" s="76"/>
      <c r="I2" s="76"/>
      <c r="J2" s="18" t="s">
        <v>450</v>
      </c>
    </row>
    <row r="3" spans="1:11" ht="37.5" customHeight="1" thickBot="1" x14ac:dyDescent="0.6">
      <c r="A3" s="45" t="s">
        <v>241</v>
      </c>
      <c r="B3" s="46" t="s">
        <v>155</v>
      </c>
      <c r="C3" s="46" t="s">
        <v>242</v>
      </c>
      <c r="D3" s="47" t="s">
        <v>211</v>
      </c>
      <c r="E3" s="46" t="s">
        <v>212</v>
      </c>
      <c r="F3" s="48" t="s">
        <v>213</v>
      </c>
      <c r="G3" s="48" t="s">
        <v>243</v>
      </c>
      <c r="H3" s="48" t="s">
        <v>244</v>
      </c>
      <c r="I3" s="48" t="s">
        <v>93</v>
      </c>
      <c r="J3" s="49" t="s">
        <v>157</v>
      </c>
    </row>
    <row r="4" spans="1:11" x14ac:dyDescent="0.55000000000000004">
      <c r="A4" s="57" t="s">
        <v>245</v>
      </c>
      <c r="B4" s="58" t="s">
        <v>246</v>
      </c>
      <c r="C4" s="58">
        <v>1</v>
      </c>
      <c r="D4" s="59" t="s">
        <v>222</v>
      </c>
      <c r="E4" s="59" t="s">
        <v>247</v>
      </c>
      <c r="F4" s="59" t="s">
        <v>83</v>
      </c>
      <c r="G4" s="56">
        <f>HYPERLINK("https://www.nite.go.jp/nbrc/catalogue/NBRCMediumDetailServlet?NO=001480",1480)</f>
        <v>1480</v>
      </c>
      <c r="H4" s="56"/>
      <c r="I4" s="60" t="s">
        <v>215</v>
      </c>
      <c r="J4" s="61" t="str">
        <f>HYPERLINK("https://www.nite.go.jp/nbrc/dbrp/dataview?dataId=ANGE0000500028060","ダウンロード")</f>
        <v>ダウンロード</v>
      </c>
      <c r="K4" s="50"/>
    </row>
    <row r="5" spans="1:11" x14ac:dyDescent="0.55000000000000004">
      <c r="A5" s="62" t="s">
        <v>245</v>
      </c>
      <c r="B5" s="13" t="s">
        <v>248</v>
      </c>
      <c r="C5" s="13">
        <v>1</v>
      </c>
      <c r="D5" s="31" t="s">
        <v>222</v>
      </c>
      <c r="E5" s="31" t="s">
        <v>247</v>
      </c>
      <c r="F5" s="31" t="s">
        <v>83</v>
      </c>
      <c r="G5" s="42">
        <f>HYPERLINK("https://www.nite.go.jp/nbrc/catalogue/NBRCMediumDetailServlet?NO=001480",1480)</f>
        <v>1480</v>
      </c>
      <c r="H5" s="42"/>
      <c r="I5" s="36" t="s">
        <v>215</v>
      </c>
      <c r="J5" s="63" t="str">
        <f>HYPERLINK("https://www.nite.go.jp/nbrc/dbrp/dataview?dataId=ANGE0000500028061","ダウンロード")</f>
        <v>ダウンロード</v>
      </c>
      <c r="K5" s="50"/>
    </row>
    <row r="6" spans="1:11" x14ac:dyDescent="0.55000000000000004">
      <c r="A6" s="64" t="s">
        <v>249</v>
      </c>
      <c r="B6" s="51" t="s">
        <v>250</v>
      </c>
      <c r="C6" s="51" t="s">
        <v>251</v>
      </c>
      <c r="D6" s="52" t="s">
        <v>222</v>
      </c>
      <c r="E6" s="52" t="s">
        <v>247</v>
      </c>
      <c r="F6" s="52" t="s">
        <v>83</v>
      </c>
      <c r="G6" s="53">
        <f>HYPERLINK("https://www.nite.go.jp/nbrc/catalogue/NBRCMediumDetailServlet?NO=000310",310)</f>
        <v>310</v>
      </c>
      <c r="H6" s="53"/>
      <c r="I6" s="54" t="s">
        <v>215</v>
      </c>
      <c r="J6" s="65" t="str">
        <f t="shared" ref="J6" si="0">HYPERLINK("mailto:rd@nite.go.jp","コチラにお問い合わせ下さい。")</f>
        <v>コチラにお問い合わせ下さい。</v>
      </c>
      <c r="K6" s="50"/>
    </row>
    <row r="7" spans="1:11" x14ac:dyDescent="0.55000000000000004">
      <c r="A7" s="62" t="s">
        <v>245</v>
      </c>
      <c r="B7" s="13" t="s">
        <v>140</v>
      </c>
      <c r="C7" s="13">
        <v>1</v>
      </c>
      <c r="D7" s="31" t="s">
        <v>88</v>
      </c>
      <c r="E7" s="31" t="s">
        <v>124</v>
      </c>
      <c r="F7" s="31" t="s">
        <v>83</v>
      </c>
      <c r="G7" s="39">
        <f>HYPERLINK("https://www.nite.go.jp/nbrc/catalogue/NBRCMediumDetailServlet?NO=001480",1480)</f>
        <v>1480</v>
      </c>
      <c r="H7" s="39"/>
      <c r="I7" s="36" t="s">
        <v>215</v>
      </c>
      <c r="J7" s="66" t="str">
        <f>HYPERLINK("https://www.nite.go.jp/nbrc/dbrp/dataview?dataId=ANGE0000500030593","ダウンロード")</f>
        <v>ダウンロード</v>
      </c>
      <c r="K7" s="50"/>
    </row>
    <row r="8" spans="1:11" x14ac:dyDescent="0.55000000000000004">
      <c r="A8" s="62" t="s">
        <v>245</v>
      </c>
      <c r="B8" s="13" t="s">
        <v>139</v>
      </c>
      <c r="C8" s="13">
        <v>1</v>
      </c>
      <c r="D8" s="31" t="s">
        <v>88</v>
      </c>
      <c r="E8" s="31" t="s">
        <v>106</v>
      </c>
      <c r="F8" s="31" t="s">
        <v>83</v>
      </c>
      <c r="G8" s="39">
        <f>HYPERLINK("https://www.nite.go.jp/nbrc/catalogue/NBRCMediumDetailServlet?NO=001480",1480)</f>
        <v>1480</v>
      </c>
      <c r="H8" s="39"/>
      <c r="I8" s="36" t="s">
        <v>215</v>
      </c>
      <c r="J8" s="66" t="str">
        <f>HYPERLINK("https://www.nite.go.jp/nbrc/dbrp/dataview?dataId=ANGE0000500030594","ダウンロード")</f>
        <v>ダウンロード</v>
      </c>
      <c r="K8" s="50"/>
    </row>
    <row r="9" spans="1:11" x14ac:dyDescent="0.55000000000000004">
      <c r="A9" s="62" t="s">
        <v>245</v>
      </c>
      <c r="B9" s="13" t="s">
        <v>138</v>
      </c>
      <c r="C9" s="13">
        <v>1</v>
      </c>
      <c r="D9" s="31" t="s">
        <v>88</v>
      </c>
      <c r="E9" s="31" t="s">
        <v>106</v>
      </c>
      <c r="F9" s="31" t="s">
        <v>83</v>
      </c>
      <c r="G9" s="39">
        <f>HYPERLINK("https://www.nite.go.jp/nbrc/catalogue/NBRCMediumDetailServlet?NO=001509",1509)</f>
        <v>1509</v>
      </c>
      <c r="H9" s="39"/>
      <c r="I9" s="36" t="s">
        <v>215</v>
      </c>
      <c r="J9" s="66" t="str">
        <f>HYPERLINK("https://www.nite.go.jp/nbrc/dbrp/dataview?dataId=ANGE0000500030595","ダウンロード")</f>
        <v>ダウンロード</v>
      </c>
      <c r="K9" s="50"/>
    </row>
    <row r="10" spans="1:11" x14ac:dyDescent="0.55000000000000004">
      <c r="A10" s="62" t="s">
        <v>245</v>
      </c>
      <c r="B10" s="13" t="s">
        <v>137</v>
      </c>
      <c r="C10" s="13">
        <v>1</v>
      </c>
      <c r="D10" s="31" t="s">
        <v>88</v>
      </c>
      <c r="E10" s="31" t="s">
        <v>252</v>
      </c>
      <c r="F10" s="31" t="s">
        <v>83</v>
      </c>
      <c r="G10" s="39">
        <f>HYPERLINK("https://www.nite.go.jp/nbrc/catalogue/NBRCMediumDetailServlet?NO=001509",1509)</f>
        <v>1509</v>
      </c>
      <c r="H10" s="39"/>
      <c r="I10" s="36" t="s">
        <v>215</v>
      </c>
      <c r="J10" s="66" t="str">
        <f>HYPERLINK("https://www.nite.go.jp/nbrc/dbrp/dataview?dataId=ANGE0000500030596","ダウンロード")</f>
        <v>ダウンロード</v>
      </c>
      <c r="K10" s="50"/>
    </row>
    <row r="11" spans="1:11" x14ac:dyDescent="0.55000000000000004">
      <c r="A11" s="64" t="s">
        <v>245</v>
      </c>
      <c r="B11" s="51" t="s">
        <v>253</v>
      </c>
      <c r="C11" s="51" t="s">
        <v>254</v>
      </c>
      <c r="D11" s="52" t="s">
        <v>222</v>
      </c>
      <c r="E11" s="52" t="s">
        <v>255</v>
      </c>
      <c r="F11" s="52" t="s">
        <v>83</v>
      </c>
      <c r="G11" s="53">
        <f>HYPERLINK("https://www.nite.go.jp/nbrc/catalogue/NBRCMediumDetailServlet?NO=001509",1509)</f>
        <v>1509</v>
      </c>
      <c r="H11" s="53"/>
      <c r="I11" s="54" t="s">
        <v>215</v>
      </c>
      <c r="J11" s="65" t="str">
        <f t="shared" ref="J11:J12" si="1">HYPERLINK("mailto:rd@nite.go.jp","コチラにお問い合わせ下さい。")</f>
        <v>コチラにお問い合わせ下さい。</v>
      </c>
      <c r="K11" s="50"/>
    </row>
    <row r="12" spans="1:11" x14ac:dyDescent="0.55000000000000004">
      <c r="A12" s="64" t="s">
        <v>245</v>
      </c>
      <c r="B12" s="51" t="s">
        <v>256</v>
      </c>
      <c r="C12" s="51" t="s">
        <v>254</v>
      </c>
      <c r="D12" s="52" t="s">
        <v>222</v>
      </c>
      <c r="E12" s="52" t="s">
        <v>255</v>
      </c>
      <c r="F12" s="52" t="s">
        <v>83</v>
      </c>
      <c r="G12" s="53">
        <f>HYPERLINK("https://www.nite.go.jp/nbrc/catalogue/NBRCMediumDetailServlet?NO=001509",1509)</f>
        <v>1509</v>
      </c>
      <c r="H12" s="53"/>
      <c r="I12" s="54" t="s">
        <v>215</v>
      </c>
      <c r="J12" s="65" t="str">
        <f t="shared" si="1"/>
        <v>コチラにお問い合わせ下さい。</v>
      </c>
      <c r="K12" s="50"/>
    </row>
    <row r="13" spans="1:11" x14ac:dyDescent="0.55000000000000004">
      <c r="A13" s="62" t="s">
        <v>245</v>
      </c>
      <c r="B13" s="13" t="s">
        <v>136</v>
      </c>
      <c r="C13" s="13">
        <v>1</v>
      </c>
      <c r="D13" s="31" t="s">
        <v>88</v>
      </c>
      <c r="E13" s="31" t="s">
        <v>96</v>
      </c>
      <c r="F13" s="31" t="s">
        <v>83</v>
      </c>
      <c r="G13" s="39">
        <f>HYPERLINK("https://www.nite.go.jp/nbrc/catalogue/NBRCMediumDetailServlet?NO=001480",1480)</f>
        <v>1480</v>
      </c>
      <c r="H13" s="39"/>
      <c r="I13" s="36" t="s">
        <v>215</v>
      </c>
      <c r="J13" s="66" t="str">
        <f>HYPERLINK("https://www.nite.go.jp/nbrc/dbrp/dataview?dataId=ANGE0000500030597","ダウンロード")</f>
        <v>ダウンロード</v>
      </c>
      <c r="K13" s="50"/>
    </row>
    <row r="14" spans="1:11" x14ac:dyDescent="0.55000000000000004">
      <c r="A14" s="62" t="s">
        <v>245</v>
      </c>
      <c r="B14" s="13" t="s">
        <v>135</v>
      </c>
      <c r="C14" s="13">
        <v>1</v>
      </c>
      <c r="D14" s="31" t="s">
        <v>88</v>
      </c>
      <c r="E14" s="31" t="s">
        <v>96</v>
      </c>
      <c r="F14" s="31" t="s">
        <v>83</v>
      </c>
      <c r="G14" s="39">
        <f t="shared" ref="G14:G56" si="2">HYPERLINK("https://www.nite.go.jp/nbrc/catalogue/NBRCMediumDetailServlet?NO=001509",1509)</f>
        <v>1509</v>
      </c>
      <c r="H14" s="39"/>
      <c r="I14" s="36" t="s">
        <v>215</v>
      </c>
      <c r="J14" s="66" t="str">
        <f>HYPERLINK("https://www.nite.go.jp/nbrc/dbrp/dataview?dataId=ANGE0000500030598","ダウンロード")</f>
        <v>ダウンロード</v>
      </c>
      <c r="K14" s="50"/>
    </row>
    <row r="15" spans="1:11" x14ac:dyDescent="0.55000000000000004">
      <c r="A15" s="64" t="s">
        <v>257</v>
      </c>
      <c r="B15" s="51" t="s">
        <v>258</v>
      </c>
      <c r="C15" s="51" t="s">
        <v>251</v>
      </c>
      <c r="D15" s="52" t="s">
        <v>95</v>
      </c>
      <c r="E15" s="52" t="s">
        <v>259</v>
      </c>
      <c r="F15" s="52" t="s">
        <v>83</v>
      </c>
      <c r="G15" s="53">
        <f t="shared" si="2"/>
        <v>1509</v>
      </c>
      <c r="H15" s="53"/>
      <c r="I15" s="54" t="s">
        <v>215</v>
      </c>
      <c r="J15" s="65" t="str">
        <f t="shared" ref="J15:J46" si="3">HYPERLINK("mailto:rd@nite.go.jp","コチラにお問い合わせ下さい。")</f>
        <v>コチラにお問い合わせ下さい。</v>
      </c>
      <c r="K15" s="50"/>
    </row>
    <row r="16" spans="1:11" x14ac:dyDescent="0.55000000000000004">
      <c r="A16" s="64" t="s">
        <v>260</v>
      </c>
      <c r="B16" s="51" t="s">
        <v>261</v>
      </c>
      <c r="C16" s="51" t="s">
        <v>254</v>
      </c>
      <c r="D16" s="52" t="s">
        <v>95</v>
      </c>
      <c r="E16" s="52" t="s">
        <v>252</v>
      </c>
      <c r="F16" s="52" t="s">
        <v>83</v>
      </c>
      <c r="G16" s="53">
        <f t="shared" si="2"/>
        <v>1509</v>
      </c>
      <c r="H16" s="53"/>
      <c r="I16" s="54" t="s">
        <v>215</v>
      </c>
      <c r="J16" s="65" t="str">
        <f t="shared" si="3"/>
        <v>コチラにお問い合わせ下さい。</v>
      </c>
      <c r="K16" s="50"/>
    </row>
    <row r="17" spans="1:11" x14ac:dyDescent="0.55000000000000004">
      <c r="A17" s="64" t="s">
        <v>260</v>
      </c>
      <c r="B17" s="51" t="s">
        <v>262</v>
      </c>
      <c r="C17" s="51" t="s">
        <v>254</v>
      </c>
      <c r="D17" s="52" t="s">
        <v>95</v>
      </c>
      <c r="E17" s="52" t="s">
        <v>252</v>
      </c>
      <c r="F17" s="52" t="s">
        <v>83</v>
      </c>
      <c r="G17" s="53">
        <f t="shared" si="2"/>
        <v>1509</v>
      </c>
      <c r="H17" s="53"/>
      <c r="I17" s="54" t="s">
        <v>215</v>
      </c>
      <c r="J17" s="65" t="str">
        <f t="shared" si="3"/>
        <v>コチラにお問い合わせ下さい。</v>
      </c>
      <c r="K17" s="50"/>
    </row>
    <row r="18" spans="1:11" x14ac:dyDescent="0.55000000000000004">
      <c r="A18" s="64" t="s">
        <v>260</v>
      </c>
      <c r="B18" s="51" t="s">
        <v>263</v>
      </c>
      <c r="C18" s="51" t="s">
        <v>254</v>
      </c>
      <c r="D18" s="52" t="s">
        <v>95</v>
      </c>
      <c r="E18" s="52" t="s">
        <v>252</v>
      </c>
      <c r="F18" s="52" t="s">
        <v>83</v>
      </c>
      <c r="G18" s="53">
        <f t="shared" si="2"/>
        <v>1509</v>
      </c>
      <c r="H18" s="53"/>
      <c r="I18" s="54" t="s">
        <v>215</v>
      </c>
      <c r="J18" s="65" t="str">
        <f t="shared" si="3"/>
        <v>コチラにお問い合わせ下さい。</v>
      </c>
      <c r="K18" s="50"/>
    </row>
    <row r="19" spans="1:11" x14ac:dyDescent="0.55000000000000004">
      <c r="A19" s="64" t="s">
        <v>260</v>
      </c>
      <c r="B19" s="51" t="s">
        <v>264</v>
      </c>
      <c r="C19" s="51" t="s">
        <v>254</v>
      </c>
      <c r="D19" s="52" t="s">
        <v>95</v>
      </c>
      <c r="E19" s="52" t="s">
        <v>259</v>
      </c>
      <c r="F19" s="52" t="s">
        <v>83</v>
      </c>
      <c r="G19" s="53">
        <f t="shared" si="2"/>
        <v>1509</v>
      </c>
      <c r="H19" s="53"/>
      <c r="I19" s="54" t="s">
        <v>215</v>
      </c>
      <c r="J19" s="65" t="str">
        <f t="shared" si="3"/>
        <v>コチラにお問い合わせ下さい。</v>
      </c>
      <c r="K19" s="50"/>
    </row>
    <row r="20" spans="1:11" x14ac:dyDescent="0.55000000000000004">
      <c r="A20" s="64" t="s">
        <v>265</v>
      </c>
      <c r="B20" s="51" t="s">
        <v>266</v>
      </c>
      <c r="C20" s="51" t="s">
        <v>251</v>
      </c>
      <c r="D20" s="52" t="s">
        <v>95</v>
      </c>
      <c r="E20" s="52" t="s">
        <v>255</v>
      </c>
      <c r="F20" s="52" t="s">
        <v>83</v>
      </c>
      <c r="G20" s="53">
        <f t="shared" si="2"/>
        <v>1509</v>
      </c>
      <c r="H20" s="53"/>
      <c r="I20" s="54" t="s">
        <v>215</v>
      </c>
      <c r="J20" s="65" t="str">
        <f t="shared" si="3"/>
        <v>コチラにお問い合わせ下さい。</v>
      </c>
      <c r="K20" s="50"/>
    </row>
    <row r="21" spans="1:11" x14ac:dyDescent="0.55000000000000004">
      <c r="A21" s="64" t="s">
        <v>265</v>
      </c>
      <c r="B21" s="51" t="s">
        <v>267</v>
      </c>
      <c r="C21" s="51" t="s">
        <v>251</v>
      </c>
      <c r="D21" s="52" t="s">
        <v>95</v>
      </c>
      <c r="E21" s="52" t="s">
        <v>252</v>
      </c>
      <c r="F21" s="52" t="s">
        <v>83</v>
      </c>
      <c r="G21" s="53">
        <f t="shared" si="2"/>
        <v>1509</v>
      </c>
      <c r="H21" s="53"/>
      <c r="I21" s="54" t="s">
        <v>215</v>
      </c>
      <c r="J21" s="65" t="str">
        <f t="shared" si="3"/>
        <v>コチラにお問い合わせ下さい。</v>
      </c>
      <c r="K21" s="50"/>
    </row>
    <row r="22" spans="1:11" x14ac:dyDescent="0.55000000000000004">
      <c r="A22" s="64" t="s">
        <v>265</v>
      </c>
      <c r="B22" s="51" t="s">
        <v>268</v>
      </c>
      <c r="C22" s="51" t="s">
        <v>251</v>
      </c>
      <c r="D22" s="52" t="s">
        <v>95</v>
      </c>
      <c r="E22" s="52" t="s">
        <v>252</v>
      </c>
      <c r="F22" s="52" t="s">
        <v>83</v>
      </c>
      <c r="G22" s="53">
        <f t="shared" si="2"/>
        <v>1509</v>
      </c>
      <c r="H22" s="53"/>
      <c r="I22" s="54" t="s">
        <v>215</v>
      </c>
      <c r="J22" s="65" t="str">
        <f t="shared" si="3"/>
        <v>コチラにお問い合わせ下さい。</v>
      </c>
      <c r="K22" s="50"/>
    </row>
    <row r="23" spans="1:11" x14ac:dyDescent="0.55000000000000004">
      <c r="A23" s="64" t="s">
        <v>265</v>
      </c>
      <c r="B23" s="51" t="s">
        <v>269</v>
      </c>
      <c r="C23" s="51" t="s">
        <v>254</v>
      </c>
      <c r="D23" s="52" t="s">
        <v>95</v>
      </c>
      <c r="E23" s="52" t="s">
        <v>259</v>
      </c>
      <c r="F23" s="52" t="s">
        <v>83</v>
      </c>
      <c r="G23" s="53">
        <f t="shared" si="2"/>
        <v>1509</v>
      </c>
      <c r="H23" s="53"/>
      <c r="I23" s="54" t="s">
        <v>215</v>
      </c>
      <c r="J23" s="65" t="str">
        <f t="shared" si="3"/>
        <v>コチラにお問い合わせ下さい。</v>
      </c>
      <c r="K23" s="50"/>
    </row>
    <row r="24" spans="1:11" x14ac:dyDescent="0.55000000000000004">
      <c r="A24" s="64" t="s">
        <v>265</v>
      </c>
      <c r="B24" s="51" t="s">
        <v>270</v>
      </c>
      <c r="C24" s="51" t="s">
        <v>254</v>
      </c>
      <c r="D24" s="52" t="s">
        <v>95</v>
      </c>
      <c r="E24" s="52" t="s">
        <v>259</v>
      </c>
      <c r="F24" s="52" t="s">
        <v>83</v>
      </c>
      <c r="G24" s="53">
        <f t="shared" si="2"/>
        <v>1509</v>
      </c>
      <c r="H24" s="53"/>
      <c r="I24" s="54" t="s">
        <v>215</v>
      </c>
      <c r="J24" s="65" t="str">
        <f t="shared" si="3"/>
        <v>コチラにお問い合わせ下さい。</v>
      </c>
      <c r="K24" s="50"/>
    </row>
    <row r="25" spans="1:11" x14ac:dyDescent="0.55000000000000004">
      <c r="A25" s="64" t="s">
        <v>265</v>
      </c>
      <c r="B25" s="51" t="s">
        <v>271</v>
      </c>
      <c r="C25" s="51" t="s">
        <v>254</v>
      </c>
      <c r="D25" s="52" t="s">
        <v>95</v>
      </c>
      <c r="E25" s="52" t="s">
        <v>259</v>
      </c>
      <c r="F25" s="52" t="s">
        <v>83</v>
      </c>
      <c r="G25" s="53">
        <f t="shared" si="2"/>
        <v>1509</v>
      </c>
      <c r="H25" s="53"/>
      <c r="I25" s="54" t="s">
        <v>215</v>
      </c>
      <c r="J25" s="65" t="str">
        <f t="shared" si="3"/>
        <v>コチラにお問い合わせ下さい。</v>
      </c>
      <c r="K25" s="50"/>
    </row>
    <row r="26" spans="1:11" x14ac:dyDescent="0.55000000000000004">
      <c r="A26" s="64" t="s">
        <v>265</v>
      </c>
      <c r="B26" s="51" t="s">
        <v>272</v>
      </c>
      <c r="C26" s="51" t="s">
        <v>254</v>
      </c>
      <c r="D26" s="52" t="s">
        <v>95</v>
      </c>
      <c r="E26" s="52" t="s">
        <v>259</v>
      </c>
      <c r="F26" s="52" t="s">
        <v>83</v>
      </c>
      <c r="G26" s="53">
        <f t="shared" si="2"/>
        <v>1509</v>
      </c>
      <c r="H26" s="53"/>
      <c r="I26" s="54" t="s">
        <v>215</v>
      </c>
      <c r="J26" s="65" t="str">
        <f t="shared" si="3"/>
        <v>コチラにお問い合わせ下さい。</v>
      </c>
      <c r="K26" s="50"/>
    </row>
    <row r="27" spans="1:11" x14ac:dyDescent="0.55000000000000004">
      <c r="A27" s="64" t="s">
        <v>265</v>
      </c>
      <c r="B27" s="51" t="s">
        <v>273</v>
      </c>
      <c r="C27" s="51" t="s">
        <v>254</v>
      </c>
      <c r="D27" s="52" t="s">
        <v>95</v>
      </c>
      <c r="E27" s="52" t="s">
        <v>259</v>
      </c>
      <c r="F27" s="52" t="s">
        <v>83</v>
      </c>
      <c r="G27" s="53">
        <f t="shared" si="2"/>
        <v>1509</v>
      </c>
      <c r="H27" s="53"/>
      <c r="I27" s="54" t="s">
        <v>215</v>
      </c>
      <c r="J27" s="65" t="str">
        <f t="shared" si="3"/>
        <v>コチラにお問い合わせ下さい。</v>
      </c>
      <c r="K27" s="50"/>
    </row>
    <row r="28" spans="1:11" x14ac:dyDescent="0.55000000000000004">
      <c r="A28" s="64" t="s">
        <v>265</v>
      </c>
      <c r="B28" s="51" t="s">
        <v>274</v>
      </c>
      <c r="C28" s="51" t="s">
        <v>254</v>
      </c>
      <c r="D28" s="52" t="s">
        <v>95</v>
      </c>
      <c r="E28" s="52" t="s">
        <v>259</v>
      </c>
      <c r="F28" s="52" t="s">
        <v>83</v>
      </c>
      <c r="G28" s="53">
        <f t="shared" si="2"/>
        <v>1509</v>
      </c>
      <c r="H28" s="53"/>
      <c r="I28" s="54" t="s">
        <v>215</v>
      </c>
      <c r="J28" s="65" t="str">
        <f t="shared" si="3"/>
        <v>コチラにお問い合わせ下さい。</v>
      </c>
      <c r="K28" s="50"/>
    </row>
    <row r="29" spans="1:11" x14ac:dyDescent="0.55000000000000004">
      <c r="A29" s="64" t="s">
        <v>265</v>
      </c>
      <c r="B29" s="51" t="s">
        <v>275</v>
      </c>
      <c r="C29" s="51" t="s">
        <v>251</v>
      </c>
      <c r="D29" s="52" t="s">
        <v>95</v>
      </c>
      <c r="E29" s="52" t="s">
        <v>252</v>
      </c>
      <c r="F29" s="52" t="s">
        <v>83</v>
      </c>
      <c r="G29" s="53">
        <f t="shared" si="2"/>
        <v>1509</v>
      </c>
      <c r="H29" s="53"/>
      <c r="I29" s="54" t="s">
        <v>215</v>
      </c>
      <c r="J29" s="65" t="str">
        <f t="shared" si="3"/>
        <v>コチラにお問い合わせ下さい。</v>
      </c>
      <c r="K29" s="50"/>
    </row>
    <row r="30" spans="1:11" x14ac:dyDescent="0.55000000000000004">
      <c r="A30" s="64" t="s">
        <v>265</v>
      </c>
      <c r="B30" s="51" t="s">
        <v>276</v>
      </c>
      <c r="C30" s="51" t="s">
        <v>254</v>
      </c>
      <c r="D30" s="52" t="s">
        <v>95</v>
      </c>
      <c r="E30" s="52" t="s">
        <v>259</v>
      </c>
      <c r="F30" s="52" t="s">
        <v>83</v>
      </c>
      <c r="G30" s="53">
        <f t="shared" si="2"/>
        <v>1509</v>
      </c>
      <c r="H30" s="53"/>
      <c r="I30" s="54" t="s">
        <v>215</v>
      </c>
      <c r="J30" s="65" t="str">
        <f t="shared" si="3"/>
        <v>コチラにお問い合わせ下さい。</v>
      </c>
      <c r="K30" s="50"/>
    </row>
    <row r="31" spans="1:11" x14ac:dyDescent="0.55000000000000004">
      <c r="A31" s="64" t="s">
        <v>277</v>
      </c>
      <c r="B31" s="51" t="s">
        <v>278</v>
      </c>
      <c r="C31" s="51" t="s">
        <v>251</v>
      </c>
      <c r="D31" s="52" t="s">
        <v>95</v>
      </c>
      <c r="E31" s="52" t="s">
        <v>259</v>
      </c>
      <c r="F31" s="52" t="s">
        <v>83</v>
      </c>
      <c r="G31" s="53">
        <f t="shared" si="2"/>
        <v>1509</v>
      </c>
      <c r="H31" s="53"/>
      <c r="I31" s="54" t="s">
        <v>215</v>
      </c>
      <c r="J31" s="65" t="str">
        <f t="shared" si="3"/>
        <v>コチラにお問い合わせ下さい。</v>
      </c>
      <c r="K31" s="50"/>
    </row>
    <row r="32" spans="1:11" x14ac:dyDescent="0.55000000000000004">
      <c r="A32" s="64" t="s">
        <v>279</v>
      </c>
      <c r="B32" s="51" t="s">
        <v>280</v>
      </c>
      <c r="C32" s="51" t="s">
        <v>251</v>
      </c>
      <c r="D32" s="52" t="s">
        <v>95</v>
      </c>
      <c r="E32" s="52" t="s">
        <v>259</v>
      </c>
      <c r="F32" s="52" t="s">
        <v>83</v>
      </c>
      <c r="G32" s="53">
        <f t="shared" si="2"/>
        <v>1509</v>
      </c>
      <c r="H32" s="53"/>
      <c r="I32" s="54" t="s">
        <v>215</v>
      </c>
      <c r="J32" s="65" t="str">
        <f t="shared" si="3"/>
        <v>コチラにお問い合わせ下さい。</v>
      </c>
      <c r="K32" s="50"/>
    </row>
    <row r="33" spans="1:11" x14ac:dyDescent="0.55000000000000004">
      <c r="A33" s="64" t="s">
        <v>279</v>
      </c>
      <c r="B33" s="51" t="s">
        <v>281</v>
      </c>
      <c r="C33" s="51" t="s">
        <v>251</v>
      </c>
      <c r="D33" s="52" t="s">
        <v>95</v>
      </c>
      <c r="E33" s="52" t="s">
        <v>259</v>
      </c>
      <c r="F33" s="52" t="s">
        <v>83</v>
      </c>
      <c r="G33" s="53">
        <f t="shared" si="2"/>
        <v>1509</v>
      </c>
      <c r="H33" s="53"/>
      <c r="I33" s="54" t="s">
        <v>215</v>
      </c>
      <c r="J33" s="65" t="str">
        <f t="shared" si="3"/>
        <v>コチラにお問い合わせ下さい。</v>
      </c>
      <c r="K33" s="50"/>
    </row>
    <row r="34" spans="1:11" x14ac:dyDescent="0.55000000000000004">
      <c r="A34" s="64" t="s">
        <v>279</v>
      </c>
      <c r="B34" s="51" t="s">
        <v>282</v>
      </c>
      <c r="C34" s="51" t="s">
        <v>251</v>
      </c>
      <c r="D34" s="52" t="s">
        <v>95</v>
      </c>
      <c r="E34" s="52" t="s">
        <v>259</v>
      </c>
      <c r="F34" s="52" t="s">
        <v>83</v>
      </c>
      <c r="G34" s="53">
        <f t="shared" si="2"/>
        <v>1509</v>
      </c>
      <c r="H34" s="53"/>
      <c r="I34" s="54" t="s">
        <v>215</v>
      </c>
      <c r="J34" s="65" t="str">
        <f t="shared" si="3"/>
        <v>コチラにお問い合わせ下さい。</v>
      </c>
      <c r="K34" s="50"/>
    </row>
    <row r="35" spans="1:11" x14ac:dyDescent="0.55000000000000004">
      <c r="A35" s="64" t="s">
        <v>283</v>
      </c>
      <c r="B35" s="51" t="s">
        <v>284</v>
      </c>
      <c r="C35" s="51" t="s">
        <v>254</v>
      </c>
      <c r="D35" s="52" t="s">
        <v>95</v>
      </c>
      <c r="E35" s="52" t="s">
        <v>259</v>
      </c>
      <c r="F35" s="52" t="s">
        <v>83</v>
      </c>
      <c r="G35" s="53">
        <f t="shared" si="2"/>
        <v>1509</v>
      </c>
      <c r="H35" s="53"/>
      <c r="I35" s="54" t="s">
        <v>215</v>
      </c>
      <c r="J35" s="65" t="str">
        <f t="shared" si="3"/>
        <v>コチラにお問い合わせ下さい。</v>
      </c>
      <c r="K35" s="50"/>
    </row>
    <row r="36" spans="1:11" x14ac:dyDescent="0.55000000000000004">
      <c r="A36" s="64" t="s">
        <v>283</v>
      </c>
      <c r="B36" s="51" t="s">
        <v>285</v>
      </c>
      <c r="C36" s="51" t="s">
        <v>254</v>
      </c>
      <c r="D36" s="52" t="s">
        <v>95</v>
      </c>
      <c r="E36" s="52" t="s">
        <v>255</v>
      </c>
      <c r="F36" s="52" t="s">
        <v>83</v>
      </c>
      <c r="G36" s="53">
        <f t="shared" si="2"/>
        <v>1509</v>
      </c>
      <c r="H36" s="53"/>
      <c r="I36" s="54" t="s">
        <v>215</v>
      </c>
      <c r="J36" s="65" t="str">
        <f t="shared" si="3"/>
        <v>コチラにお問い合わせ下さい。</v>
      </c>
      <c r="K36" s="50"/>
    </row>
    <row r="37" spans="1:11" x14ac:dyDescent="0.55000000000000004">
      <c r="A37" s="64" t="s">
        <v>283</v>
      </c>
      <c r="B37" s="51" t="s">
        <v>286</v>
      </c>
      <c r="C37" s="51" t="s">
        <v>254</v>
      </c>
      <c r="D37" s="52" t="s">
        <v>95</v>
      </c>
      <c r="E37" s="52" t="s">
        <v>259</v>
      </c>
      <c r="F37" s="52" t="s">
        <v>83</v>
      </c>
      <c r="G37" s="53">
        <f t="shared" si="2"/>
        <v>1509</v>
      </c>
      <c r="H37" s="53"/>
      <c r="I37" s="54" t="s">
        <v>215</v>
      </c>
      <c r="J37" s="65" t="str">
        <f t="shared" si="3"/>
        <v>コチラにお問い合わせ下さい。</v>
      </c>
      <c r="K37" s="50"/>
    </row>
    <row r="38" spans="1:11" x14ac:dyDescent="0.55000000000000004">
      <c r="A38" s="64" t="s">
        <v>283</v>
      </c>
      <c r="B38" s="51" t="s">
        <v>287</v>
      </c>
      <c r="C38" s="51" t="s">
        <v>254</v>
      </c>
      <c r="D38" s="52" t="s">
        <v>95</v>
      </c>
      <c r="E38" s="52" t="s">
        <v>259</v>
      </c>
      <c r="F38" s="52" t="s">
        <v>83</v>
      </c>
      <c r="G38" s="53">
        <f t="shared" si="2"/>
        <v>1509</v>
      </c>
      <c r="H38" s="53"/>
      <c r="I38" s="54" t="s">
        <v>215</v>
      </c>
      <c r="J38" s="65" t="str">
        <f t="shared" si="3"/>
        <v>コチラにお問い合わせ下さい。</v>
      </c>
      <c r="K38" s="50"/>
    </row>
    <row r="39" spans="1:11" x14ac:dyDescent="0.55000000000000004">
      <c r="A39" s="64" t="s">
        <v>283</v>
      </c>
      <c r="B39" s="51" t="s">
        <v>288</v>
      </c>
      <c r="C39" s="51" t="s">
        <v>254</v>
      </c>
      <c r="D39" s="52" t="s">
        <v>95</v>
      </c>
      <c r="E39" s="52" t="s">
        <v>259</v>
      </c>
      <c r="F39" s="52" t="s">
        <v>83</v>
      </c>
      <c r="G39" s="53">
        <f t="shared" si="2"/>
        <v>1509</v>
      </c>
      <c r="H39" s="53"/>
      <c r="I39" s="54" t="s">
        <v>215</v>
      </c>
      <c r="J39" s="65" t="str">
        <f t="shared" si="3"/>
        <v>コチラにお問い合わせ下さい。</v>
      </c>
      <c r="K39" s="50"/>
    </row>
    <row r="40" spans="1:11" x14ac:dyDescent="0.55000000000000004">
      <c r="A40" s="64" t="s">
        <v>283</v>
      </c>
      <c r="B40" s="51" t="s">
        <v>289</v>
      </c>
      <c r="C40" s="51" t="s">
        <v>254</v>
      </c>
      <c r="D40" s="52" t="s">
        <v>95</v>
      </c>
      <c r="E40" s="52" t="s">
        <v>259</v>
      </c>
      <c r="F40" s="52" t="s">
        <v>83</v>
      </c>
      <c r="G40" s="53">
        <f t="shared" si="2"/>
        <v>1509</v>
      </c>
      <c r="H40" s="53"/>
      <c r="I40" s="54" t="s">
        <v>215</v>
      </c>
      <c r="J40" s="65" t="str">
        <f t="shared" si="3"/>
        <v>コチラにお問い合わせ下さい。</v>
      </c>
      <c r="K40" s="50"/>
    </row>
    <row r="41" spans="1:11" x14ac:dyDescent="0.55000000000000004">
      <c r="A41" s="64" t="s">
        <v>283</v>
      </c>
      <c r="B41" s="51" t="s">
        <v>290</v>
      </c>
      <c r="C41" s="51" t="s">
        <v>254</v>
      </c>
      <c r="D41" s="52" t="s">
        <v>95</v>
      </c>
      <c r="E41" s="52" t="s">
        <v>259</v>
      </c>
      <c r="F41" s="52" t="s">
        <v>83</v>
      </c>
      <c r="G41" s="53">
        <f t="shared" si="2"/>
        <v>1509</v>
      </c>
      <c r="H41" s="53"/>
      <c r="I41" s="54" t="s">
        <v>215</v>
      </c>
      <c r="J41" s="65" t="str">
        <f t="shared" si="3"/>
        <v>コチラにお問い合わせ下さい。</v>
      </c>
      <c r="K41" s="50"/>
    </row>
    <row r="42" spans="1:11" x14ac:dyDescent="0.55000000000000004">
      <c r="A42" s="64" t="s">
        <v>283</v>
      </c>
      <c r="B42" s="51" t="s">
        <v>291</v>
      </c>
      <c r="C42" s="51" t="s">
        <v>254</v>
      </c>
      <c r="D42" s="52" t="s">
        <v>95</v>
      </c>
      <c r="E42" s="52" t="s">
        <v>255</v>
      </c>
      <c r="F42" s="52" t="s">
        <v>83</v>
      </c>
      <c r="G42" s="53">
        <f t="shared" si="2"/>
        <v>1509</v>
      </c>
      <c r="H42" s="53"/>
      <c r="I42" s="54" t="s">
        <v>215</v>
      </c>
      <c r="J42" s="65" t="str">
        <f t="shared" si="3"/>
        <v>コチラにお問い合わせ下さい。</v>
      </c>
      <c r="K42" s="50"/>
    </row>
    <row r="43" spans="1:11" x14ac:dyDescent="0.55000000000000004">
      <c r="A43" s="64" t="s">
        <v>283</v>
      </c>
      <c r="B43" s="51" t="s">
        <v>292</v>
      </c>
      <c r="C43" s="51" t="s">
        <v>254</v>
      </c>
      <c r="D43" s="52" t="s">
        <v>95</v>
      </c>
      <c r="E43" s="52" t="s">
        <v>252</v>
      </c>
      <c r="F43" s="52" t="s">
        <v>83</v>
      </c>
      <c r="G43" s="53">
        <f t="shared" si="2"/>
        <v>1509</v>
      </c>
      <c r="H43" s="53"/>
      <c r="I43" s="54" t="s">
        <v>215</v>
      </c>
      <c r="J43" s="65" t="str">
        <f t="shared" si="3"/>
        <v>コチラにお問い合わせ下さい。</v>
      </c>
      <c r="K43" s="50"/>
    </row>
    <row r="44" spans="1:11" x14ac:dyDescent="0.55000000000000004">
      <c r="A44" s="64" t="s">
        <v>283</v>
      </c>
      <c r="B44" s="51" t="s">
        <v>293</v>
      </c>
      <c r="C44" s="51" t="s">
        <v>254</v>
      </c>
      <c r="D44" s="52" t="s">
        <v>95</v>
      </c>
      <c r="E44" s="52" t="s">
        <v>252</v>
      </c>
      <c r="F44" s="52" t="s">
        <v>83</v>
      </c>
      <c r="G44" s="53">
        <f t="shared" si="2"/>
        <v>1509</v>
      </c>
      <c r="H44" s="53"/>
      <c r="I44" s="54" t="s">
        <v>215</v>
      </c>
      <c r="J44" s="65" t="str">
        <f t="shared" si="3"/>
        <v>コチラにお問い合わせ下さい。</v>
      </c>
      <c r="K44" s="50"/>
    </row>
    <row r="45" spans="1:11" x14ac:dyDescent="0.55000000000000004">
      <c r="A45" s="64" t="s">
        <v>283</v>
      </c>
      <c r="B45" s="51" t="s">
        <v>294</v>
      </c>
      <c r="C45" s="51" t="s">
        <v>254</v>
      </c>
      <c r="D45" s="52" t="s">
        <v>95</v>
      </c>
      <c r="E45" s="52" t="s">
        <v>252</v>
      </c>
      <c r="F45" s="52" t="s">
        <v>83</v>
      </c>
      <c r="G45" s="53">
        <f t="shared" si="2"/>
        <v>1509</v>
      </c>
      <c r="H45" s="53"/>
      <c r="I45" s="54" t="s">
        <v>215</v>
      </c>
      <c r="J45" s="65" t="str">
        <f t="shared" si="3"/>
        <v>コチラにお問い合わせ下さい。</v>
      </c>
      <c r="K45" s="50"/>
    </row>
    <row r="46" spans="1:11" x14ac:dyDescent="0.55000000000000004">
      <c r="A46" s="64" t="s">
        <v>295</v>
      </c>
      <c r="B46" s="51" t="s">
        <v>296</v>
      </c>
      <c r="C46" s="51" t="s">
        <v>254</v>
      </c>
      <c r="D46" s="52" t="s">
        <v>95</v>
      </c>
      <c r="E46" s="52" t="s">
        <v>255</v>
      </c>
      <c r="F46" s="52" t="s">
        <v>83</v>
      </c>
      <c r="G46" s="53">
        <f t="shared" si="2"/>
        <v>1509</v>
      </c>
      <c r="H46" s="53"/>
      <c r="I46" s="54" t="s">
        <v>215</v>
      </c>
      <c r="J46" s="65" t="str">
        <f t="shared" si="3"/>
        <v>コチラにお問い合わせ下さい。</v>
      </c>
      <c r="K46" s="50"/>
    </row>
    <row r="47" spans="1:11" x14ac:dyDescent="0.55000000000000004">
      <c r="A47" s="62" t="s">
        <v>295</v>
      </c>
      <c r="B47" s="13" t="s">
        <v>114</v>
      </c>
      <c r="C47" s="13">
        <v>1</v>
      </c>
      <c r="D47" s="31" t="s">
        <v>88</v>
      </c>
      <c r="E47" s="31" t="s">
        <v>96</v>
      </c>
      <c r="F47" s="31" t="s">
        <v>83</v>
      </c>
      <c r="G47" s="39">
        <f t="shared" si="2"/>
        <v>1509</v>
      </c>
      <c r="H47" s="39"/>
      <c r="I47" s="36" t="s">
        <v>215</v>
      </c>
      <c r="J47" s="66" t="str">
        <f>HYPERLINK("https://www.nite.go.jp/nbrc/dbrp/dataview?dataId=ANGE0000500030599","ダウンロード")</f>
        <v>ダウンロード</v>
      </c>
      <c r="K47" s="50"/>
    </row>
    <row r="48" spans="1:11" x14ac:dyDescent="0.55000000000000004">
      <c r="A48" s="62" t="s">
        <v>295</v>
      </c>
      <c r="B48" s="13" t="s">
        <v>113</v>
      </c>
      <c r="C48" s="13">
        <v>1</v>
      </c>
      <c r="D48" s="31" t="s">
        <v>88</v>
      </c>
      <c r="E48" s="31" t="s">
        <v>96</v>
      </c>
      <c r="F48" s="31" t="s">
        <v>83</v>
      </c>
      <c r="G48" s="39">
        <f t="shared" si="2"/>
        <v>1509</v>
      </c>
      <c r="H48" s="39"/>
      <c r="I48" s="36" t="s">
        <v>215</v>
      </c>
      <c r="J48" s="66" t="str">
        <f>HYPERLINK("https://www.nite.go.jp/nbrc/dbrp/dataview?dataId=ANGE0000500030600","ダウンロード")</f>
        <v>ダウンロード</v>
      </c>
      <c r="K48" s="50"/>
    </row>
    <row r="49" spans="1:11" x14ac:dyDescent="0.55000000000000004">
      <c r="A49" s="62" t="s">
        <v>295</v>
      </c>
      <c r="B49" s="13" t="s">
        <v>112</v>
      </c>
      <c r="C49" s="13">
        <v>1</v>
      </c>
      <c r="D49" s="31" t="s">
        <v>88</v>
      </c>
      <c r="E49" s="31" t="s">
        <v>96</v>
      </c>
      <c r="F49" s="31" t="s">
        <v>83</v>
      </c>
      <c r="G49" s="39">
        <f t="shared" si="2"/>
        <v>1509</v>
      </c>
      <c r="H49" s="39"/>
      <c r="I49" s="36" t="s">
        <v>215</v>
      </c>
      <c r="J49" s="66" t="str">
        <f>HYPERLINK("https://www.nite.go.jp/nbrc/dbrp/dataview?dataId=ANGE0000500030601","ダウンロード")</f>
        <v>ダウンロード</v>
      </c>
      <c r="K49" s="50"/>
    </row>
    <row r="50" spans="1:11" x14ac:dyDescent="0.55000000000000004">
      <c r="A50" s="62" t="s">
        <v>295</v>
      </c>
      <c r="B50" s="13" t="s">
        <v>111</v>
      </c>
      <c r="C50" s="13">
        <v>1</v>
      </c>
      <c r="D50" s="31" t="s">
        <v>88</v>
      </c>
      <c r="E50" s="31" t="s">
        <v>96</v>
      </c>
      <c r="F50" s="31" t="s">
        <v>83</v>
      </c>
      <c r="G50" s="39">
        <f t="shared" si="2"/>
        <v>1509</v>
      </c>
      <c r="H50" s="39"/>
      <c r="I50" s="36" t="s">
        <v>215</v>
      </c>
      <c r="J50" s="66" t="str">
        <f>HYPERLINK("https://www.nite.go.jp/nbrc/dbrp/dataview?dataId=ANGE0000500030602","ダウンロード")</f>
        <v>ダウンロード</v>
      </c>
      <c r="K50" s="50"/>
    </row>
    <row r="51" spans="1:11" x14ac:dyDescent="0.55000000000000004">
      <c r="A51" s="62" t="s">
        <v>295</v>
      </c>
      <c r="B51" s="13" t="s">
        <v>110</v>
      </c>
      <c r="C51" s="13">
        <v>1</v>
      </c>
      <c r="D51" s="31" t="s">
        <v>88</v>
      </c>
      <c r="E51" s="31" t="s">
        <v>96</v>
      </c>
      <c r="F51" s="31" t="s">
        <v>83</v>
      </c>
      <c r="G51" s="39">
        <f t="shared" si="2"/>
        <v>1509</v>
      </c>
      <c r="H51" s="39"/>
      <c r="I51" s="36" t="s">
        <v>215</v>
      </c>
      <c r="J51" s="66" t="str">
        <f>HYPERLINK("https://www.nite.go.jp/nbrc/dbrp/dataview?dataId=ANGE0000500030603","ダウンロード")</f>
        <v>ダウンロード</v>
      </c>
      <c r="K51" s="50"/>
    </row>
    <row r="52" spans="1:11" x14ac:dyDescent="0.55000000000000004">
      <c r="A52" s="64" t="s">
        <v>249</v>
      </c>
      <c r="B52" s="51" t="s">
        <v>297</v>
      </c>
      <c r="C52" s="51" t="s">
        <v>254</v>
      </c>
      <c r="D52" s="52" t="s">
        <v>222</v>
      </c>
      <c r="E52" s="52" t="s">
        <v>252</v>
      </c>
      <c r="F52" s="52" t="s">
        <v>83</v>
      </c>
      <c r="G52" s="53">
        <f t="shared" si="2"/>
        <v>1509</v>
      </c>
      <c r="H52" s="53"/>
      <c r="I52" s="54" t="s">
        <v>215</v>
      </c>
      <c r="J52" s="65" t="str">
        <f t="shared" ref="J52:J58" si="4">HYPERLINK("mailto:rd@nite.go.jp","コチラにお問い合わせ下さい。")</f>
        <v>コチラにお問い合わせ下さい。</v>
      </c>
      <c r="K52" s="50"/>
    </row>
    <row r="53" spans="1:11" x14ac:dyDescent="0.55000000000000004">
      <c r="A53" s="64" t="s">
        <v>249</v>
      </c>
      <c r="B53" s="51" t="s">
        <v>298</v>
      </c>
      <c r="C53" s="51" t="s">
        <v>251</v>
      </c>
      <c r="D53" s="52" t="s">
        <v>222</v>
      </c>
      <c r="E53" s="52" t="s">
        <v>255</v>
      </c>
      <c r="F53" s="52" t="s">
        <v>83</v>
      </c>
      <c r="G53" s="53">
        <f t="shared" si="2"/>
        <v>1509</v>
      </c>
      <c r="H53" s="53"/>
      <c r="I53" s="54" t="s">
        <v>215</v>
      </c>
      <c r="J53" s="65" t="str">
        <f t="shared" si="4"/>
        <v>コチラにお問い合わせ下さい。</v>
      </c>
      <c r="K53" s="50"/>
    </row>
    <row r="54" spans="1:11" x14ac:dyDescent="0.55000000000000004">
      <c r="A54" s="64" t="s">
        <v>249</v>
      </c>
      <c r="B54" s="51" t="s">
        <v>299</v>
      </c>
      <c r="C54" s="51" t="s">
        <v>251</v>
      </c>
      <c r="D54" s="52" t="s">
        <v>222</v>
      </c>
      <c r="E54" s="52" t="s">
        <v>255</v>
      </c>
      <c r="F54" s="52" t="s">
        <v>83</v>
      </c>
      <c r="G54" s="53">
        <f t="shared" si="2"/>
        <v>1509</v>
      </c>
      <c r="H54" s="53"/>
      <c r="I54" s="54" t="s">
        <v>215</v>
      </c>
      <c r="J54" s="65" t="str">
        <f t="shared" si="4"/>
        <v>コチラにお問い合わせ下さい。</v>
      </c>
      <c r="K54" s="50"/>
    </row>
    <row r="55" spans="1:11" x14ac:dyDescent="0.55000000000000004">
      <c r="A55" s="64" t="s">
        <v>249</v>
      </c>
      <c r="B55" s="51" t="s">
        <v>300</v>
      </c>
      <c r="C55" s="51" t="s">
        <v>251</v>
      </c>
      <c r="D55" s="52" t="s">
        <v>222</v>
      </c>
      <c r="E55" s="52" t="s">
        <v>255</v>
      </c>
      <c r="F55" s="52" t="s">
        <v>83</v>
      </c>
      <c r="G55" s="53">
        <f t="shared" si="2"/>
        <v>1509</v>
      </c>
      <c r="H55" s="53"/>
      <c r="I55" s="54" t="s">
        <v>215</v>
      </c>
      <c r="J55" s="65" t="str">
        <f t="shared" si="4"/>
        <v>コチラにお問い合わせ下さい。</v>
      </c>
      <c r="K55" s="50"/>
    </row>
    <row r="56" spans="1:11" x14ac:dyDescent="0.55000000000000004">
      <c r="A56" s="64" t="s">
        <v>249</v>
      </c>
      <c r="B56" s="51" t="s">
        <v>301</v>
      </c>
      <c r="C56" s="51" t="s">
        <v>251</v>
      </c>
      <c r="D56" s="52" t="s">
        <v>222</v>
      </c>
      <c r="E56" s="52" t="s">
        <v>255</v>
      </c>
      <c r="F56" s="52" t="s">
        <v>83</v>
      </c>
      <c r="G56" s="53">
        <f t="shared" si="2"/>
        <v>1509</v>
      </c>
      <c r="H56" s="53"/>
      <c r="I56" s="54" t="s">
        <v>215</v>
      </c>
      <c r="J56" s="65" t="str">
        <f t="shared" si="4"/>
        <v>コチラにお問い合わせ下さい。</v>
      </c>
      <c r="K56" s="50"/>
    </row>
    <row r="57" spans="1:11" x14ac:dyDescent="0.55000000000000004">
      <c r="A57" s="64" t="s">
        <v>302</v>
      </c>
      <c r="B57" s="51" t="s">
        <v>303</v>
      </c>
      <c r="C57" s="51" t="s">
        <v>254</v>
      </c>
      <c r="D57" s="52" t="s">
        <v>222</v>
      </c>
      <c r="E57" s="52" t="s">
        <v>255</v>
      </c>
      <c r="F57" s="52" t="s">
        <v>83</v>
      </c>
      <c r="G57" s="53">
        <f>HYPERLINK("https://www.nite.go.jp/nbrc/catalogue/NBRCMediumDetailServlet?NO=000310",310)</f>
        <v>310</v>
      </c>
      <c r="H57" s="53"/>
      <c r="I57" s="54" t="s">
        <v>215</v>
      </c>
      <c r="J57" s="65" t="str">
        <f t="shared" si="4"/>
        <v>コチラにお問い合わせ下さい。</v>
      </c>
      <c r="K57" s="50"/>
    </row>
    <row r="58" spans="1:11" x14ac:dyDescent="0.55000000000000004">
      <c r="A58" s="64" t="s">
        <v>302</v>
      </c>
      <c r="B58" s="51" t="s">
        <v>304</v>
      </c>
      <c r="C58" s="51" t="s">
        <v>254</v>
      </c>
      <c r="D58" s="52" t="s">
        <v>222</v>
      </c>
      <c r="E58" s="52" t="s">
        <v>259</v>
      </c>
      <c r="F58" s="52" t="s">
        <v>83</v>
      </c>
      <c r="G58" s="53">
        <f>HYPERLINK("https://www.nite.go.jp/nbrc/catalogue/NBRCMediumDetailServlet?NO=000310",310)</f>
        <v>310</v>
      </c>
      <c r="H58" s="53"/>
      <c r="I58" s="54" t="s">
        <v>215</v>
      </c>
      <c r="J58" s="65" t="str">
        <f t="shared" si="4"/>
        <v>コチラにお問い合わせ下さい。</v>
      </c>
      <c r="K58" s="50"/>
    </row>
    <row r="59" spans="1:11" x14ac:dyDescent="0.55000000000000004">
      <c r="A59" s="62" t="s">
        <v>305</v>
      </c>
      <c r="B59" s="13" t="s">
        <v>130</v>
      </c>
      <c r="C59" s="13">
        <v>1</v>
      </c>
      <c r="D59" s="31" t="s">
        <v>88</v>
      </c>
      <c r="E59" s="31" t="s">
        <v>96</v>
      </c>
      <c r="F59" s="31" t="s">
        <v>83</v>
      </c>
      <c r="G59" s="39">
        <f t="shared" ref="G59:G100" si="5">HYPERLINK("https://www.nite.go.jp/nbrc/catalogue/NBRCMediumDetailServlet?NO=001509",1509)</f>
        <v>1509</v>
      </c>
      <c r="H59" s="39"/>
      <c r="I59" s="36" t="s">
        <v>215</v>
      </c>
      <c r="J59" s="66" t="str">
        <f>HYPERLINK("https://www.nite.go.jp/nbrc/dbrp/dataview?dataId=ANGE0000500030604","ダウンロード")</f>
        <v>ダウンロード</v>
      </c>
      <c r="K59" s="50"/>
    </row>
    <row r="60" spans="1:11" x14ac:dyDescent="0.55000000000000004">
      <c r="A60" s="62" t="s">
        <v>305</v>
      </c>
      <c r="B60" s="13" t="s">
        <v>129</v>
      </c>
      <c r="C60" s="13">
        <v>1</v>
      </c>
      <c r="D60" s="31" t="s">
        <v>88</v>
      </c>
      <c r="E60" s="31" t="s">
        <v>96</v>
      </c>
      <c r="F60" s="31" t="s">
        <v>83</v>
      </c>
      <c r="G60" s="39">
        <f t="shared" si="5"/>
        <v>1509</v>
      </c>
      <c r="H60" s="39"/>
      <c r="I60" s="36" t="s">
        <v>215</v>
      </c>
      <c r="J60" s="66" t="str">
        <f>HYPERLINK("https://www.nite.go.jp/nbrc/dbrp/dataview?dataId=ANGE0000500030605","ダウンロード")</f>
        <v>ダウンロード</v>
      </c>
      <c r="K60" s="50"/>
    </row>
    <row r="61" spans="1:11" x14ac:dyDescent="0.55000000000000004">
      <c r="A61" s="62" t="s">
        <v>306</v>
      </c>
      <c r="B61" s="13" t="s">
        <v>128</v>
      </c>
      <c r="C61" s="13">
        <v>1</v>
      </c>
      <c r="D61" s="31" t="s">
        <v>88</v>
      </c>
      <c r="E61" s="31" t="s">
        <v>96</v>
      </c>
      <c r="F61" s="31" t="s">
        <v>83</v>
      </c>
      <c r="G61" s="39">
        <f t="shared" si="5"/>
        <v>1509</v>
      </c>
      <c r="H61" s="39"/>
      <c r="I61" s="36" t="s">
        <v>215</v>
      </c>
      <c r="J61" s="66" t="str">
        <f>HYPERLINK("https://www.nite.go.jp/nbrc/dbrp/dataview?dataId=ANGE0000500030606","ダウンロード")</f>
        <v>ダウンロード</v>
      </c>
      <c r="K61" s="50"/>
    </row>
    <row r="62" spans="1:11" x14ac:dyDescent="0.55000000000000004">
      <c r="A62" s="62" t="s">
        <v>307</v>
      </c>
      <c r="B62" s="13" t="s">
        <v>127</v>
      </c>
      <c r="C62" s="13">
        <v>1</v>
      </c>
      <c r="D62" s="31" t="s">
        <v>88</v>
      </c>
      <c r="E62" s="31" t="s">
        <v>96</v>
      </c>
      <c r="F62" s="31" t="s">
        <v>83</v>
      </c>
      <c r="G62" s="39">
        <f t="shared" si="5"/>
        <v>1509</v>
      </c>
      <c r="H62" s="39"/>
      <c r="I62" s="36" t="s">
        <v>215</v>
      </c>
      <c r="J62" s="66" t="str">
        <f>HYPERLINK("https://www.nite.go.jp/nbrc/dbrp/dataview?dataId=ANGE0000500030607","ダウンロード")</f>
        <v>ダウンロード</v>
      </c>
      <c r="K62" s="50"/>
    </row>
    <row r="63" spans="1:11" x14ac:dyDescent="0.55000000000000004">
      <c r="A63" s="62" t="s">
        <v>307</v>
      </c>
      <c r="B63" s="13" t="s">
        <v>126</v>
      </c>
      <c r="C63" s="13">
        <v>1</v>
      </c>
      <c r="D63" s="31" t="s">
        <v>88</v>
      </c>
      <c r="E63" s="31" t="s">
        <v>96</v>
      </c>
      <c r="F63" s="31" t="s">
        <v>83</v>
      </c>
      <c r="G63" s="39">
        <f t="shared" si="5"/>
        <v>1509</v>
      </c>
      <c r="H63" s="39"/>
      <c r="I63" s="36" t="s">
        <v>215</v>
      </c>
      <c r="J63" s="66" t="str">
        <f>HYPERLINK("https://www.nite.go.jp/nbrc/dbrp/dataview?dataId=ANGE0000500030608","ダウンロード")</f>
        <v>ダウンロード</v>
      </c>
      <c r="K63" s="50"/>
    </row>
    <row r="64" spans="1:11" x14ac:dyDescent="0.55000000000000004">
      <c r="A64" s="62" t="s">
        <v>307</v>
      </c>
      <c r="B64" s="13" t="s">
        <v>125</v>
      </c>
      <c r="C64" s="13">
        <v>1</v>
      </c>
      <c r="D64" s="31" t="s">
        <v>88</v>
      </c>
      <c r="E64" s="31" t="s">
        <v>96</v>
      </c>
      <c r="F64" s="31" t="s">
        <v>83</v>
      </c>
      <c r="G64" s="39">
        <f t="shared" si="5"/>
        <v>1509</v>
      </c>
      <c r="H64" s="39"/>
      <c r="I64" s="36" t="s">
        <v>215</v>
      </c>
      <c r="J64" s="66" t="str">
        <f>HYPERLINK("https://www.nite.go.jp/nbrc/dbrp/dataview?dataId=ANGE0000500030609","ダウンロード")</f>
        <v>ダウンロード</v>
      </c>
      <c r="K64" s="50"/>
    </row>
    <row r="65" spans="1:11" x14ac:dyDescent="0.55000000000000004">
      <c r="A65" s="64" t="s">
        <v>307</v>
      </c>
      <c r="B65" s="51" t="s">
        <v>308</v>
      </c>
      <c r="C65" s="51" t="s">
        <v>254</v>
      </c>
      <c r="D65" s="52" t="s">
        <v>95</v>
      </c>
      <c r="E65" s="52" t="s">
        <v>259</v>
      </c>
      <c r="F65" s="52" t="s">
        <v>83</v>
      </c>
      <c r="G65" s="53">
        <f t="shared" si="5"/>
        <v>1509</v>
      </c>
      <c r="H65" s="53"/>
      <c r="I65" s="54" t="s">
        <v>215</v>
      </c>
      <c r="J65" s="65" t="str">
        <f t="shared" ref="J65:J73" si="6">HYPERLINK("mailto:rd@nite.go.jp","コチラにお問い合わせ下さい。")</f>
        <v>コチラにお問い合わせ下さい。</v>
      </c>
      <c r="K65" s="50"/>
    </row>
    <row r="66" spans="1:11" x14ac:dyDescent="0.55000000000000004">
      <c r="A66" s="64" t="s">
        <v>307</v>
      </c>
      <c r="B66" s="51" t="s">
        <v>309</v>
      </c>
      <c r="C66" s="51" t="s">
        <v>254</v>
      </c>
      <c r="D66" s="52" t="s">
        <v>95</v>
      </c>
      <c r="E66" s="52" t="s">
        <v>259</v>
      </c>
      <c r="F66" s="52" t="s">
        <v>83</v>
      </c>
      <c r="G66" s="53">
        <f t="shared" si="5"/>
        <v>1509</v>
      </c>
      <c r="H66" s="53"/>
      <c r="I66" s="54" t="s">
        <v>215</v>
      </c>
      <c r="J66" s="65" t="str">
        <f t="shared" si="6"/>
        <v>コチラにお問い合わせ下さい。</v>
      </c>
      <c r="K66" s="50"/>
    </row>
    <row r="67" spans="1:11" x14ac:dyDescent="0.55000000000000004">
      <c r="A67" s="64" t="s">
        <v>310</v>
      </c>
      <c r="B67" s="51" t="s">
        <v>311</v>
      </c>
      <c r="C67" s="51" t="s">
        <v>312</v>
      </c>
      <c r="D67" s="52" t="s">
        <v>95</v>
      </c>
      <c r="E67" s="52" t="s">
        <v>259</v>
      </c>
      <c r="F67" s="52" t="s">
        <v>83</v>
      </c>
      <c r="G67" s="53">
        <f t="shared" si="5"/>
        <v>1509</v>
      </c>
      <c r="H67" s="53"/>
      <c r="I67" s="54" t="s">
        <v>215</v>
      </c>
      <c r="J67" s="65" t="str">
        <f t="shared" si="6"/>
        <v>コチラにお問い合わせ下さい。</v>
      </c>
      <c r="K67" s="50"/>
    </row>
    <row r="68" spans="1:11" x14ac:dyDescent="0.55000000000000004">
      <c r="A68" s="64" t="s">
        <v>310</v>
      </c>
      <c r="B68" s="51" t="s">
        <v>313</v>
      </c>
      <c r="C68" s="51" t="s">
        <v>312</v>
      </c>
      <c r="D68" s="52" t="s">
        <v>95</v>
      </c>
      <c r="E68" s="52" t="s">
        <v>259</v>
      </c>
      <c r="F68" s="52" t="s">
        <v>83</v>
      </c>
      <c r="G68" s="53">
        <f t="shared" si="5"/>
        <v>1509</v>
      </c>
      <c r="H68" s="53"/>
      <c r="I68" s="54" t="s">
        <v>215</v>
      </c>
      <c r="J68" s="65" t="str">
        <f t="shared" si="6"/>
        <v>コチラにお問い合わせ下さい。</v>
      </c>
      <c r="K68" s="50"/>
    </row>
    <row r="69" spans="1:11" x14ac:dyDescent="0.55000000000000004">
      <c r="A69" s="64" t="s">
        <v>310</v>
      </c>
      <c r="B69" s="51" t="s">
        <v>314</v>
      </c>
      <c r="C69" s="51" t="s">
        <v>312</v>
      </c>
      <c r="D69" s="52" t="s">
        <v>95</v>
      </c>
      <c r="E69" s="52" t="s">
        <v>259</v>
      </c>
      <c r="F69" s="52" t="s">
        <v>83</v>
      </c>
      <c r="G69" s="53">
        <f t="shared" si="5"/>
        <v>1509</v>
      </c>
      <c r="H69" s="53"/>
      <c r="I69" s="54" t="s">
        <v>215</v>
      </c>
      <c r="J69" s="65" t="str">
        <f t="shared" si="6"/>
        <v>コチラにお問い合わせ下さい。</v>
      </c>
      <c r="K69" s="50"/>
    </row>
    <row r="70" spans="1:11" x14ac:dyDescent="0.55000000000000004">
      <c r="A70" s="64" t="s">
        <v>310</v>
      </c>
      <c r="B70" s="51" t="s">
        <v>315</v>
      </c>
      <c r="C70" s="51" t="s">
        <v>312</v>
      </c>
      <c r="D70" s="52" t="s">
        <v>95</v>
      </c>
      <c r="E70" s="52" t="s">
        <v>259</v>
      </c>
      <c r="F70" s="52" t="s">
        <v>83</v>
      </c>
      <c r="G70" s="53">
        <f t="shared" si="5"/>
        <v>1509</v>
      </c>
      <c r="H70" s="53"/>
      <c r="I70" s="54" t="s">
        <v>215</v>
      </c>
      <c r="J70" s="65" t="str">
        <f t="shared" si="6"/>
        <v>コチラにお問い合わせ下さい。</v>
      </c>
      <c r="K70" s="50"/>
    </row>
    <row r="71" spans="1:11" x14ac:dyDescent="0.55000000000000004">
      <c r="A71" s="64" t="s">
        <v>310</v>
      </c>
      <c r="B71" s="51" t="s">
        <v>316</v>
      </c>
      <c r="C71" s="51" t="s">
        <v>251</v>
      </c>
      <c r="D71" s="52" t="s">
        <v>95</v>
      </c>
      <c r="E71" s="52" t="s">
        <v>259</v>
      </c>
      <c r="F71" s="52" t="s">
        <v>83</v>
      </c>
      <c r="G71" s="53">
        <f t="shared" si="5"/>
        <v>1509</v>
      </c>
      <c r="H71" s="53"/>
      <c r="I71" s="54" t="s">
        <v>215</v>
      </c>
      <c r="J71" s="65" t="str">
        <f t="shared" si="6"/>
        <v>コチラにお問い合わせ下さい。</v>
      </c>
      <c r="K71" s="50"/>
    </row>
    <row r="72" spans="1:11" x14ac:dyDescent="0.55000000000000004">
      <c r="A72" s="64" t="s">
        <v>310</v>
      </c>
      <c r="B72" s="51" t="s">
        <v>317</v>
      </c>
      <c r="C72" s="51" t="s">
        <v>251</v>
      </c>
      <c r="D72" s="52" t="s">
        <v>95</v>
      </c>
      <c r="E72" s="52" t="s">
        <v>259</v>
      </c>
      <c r="F72" s="52" t="s">
        <v>83</v>
      </c>
      <c r="G72" s="53">
        <f t="shared" si="5"/>
        <v>1509</v>
      </c>
      <c r="H72" s="53"/>
      <c r="I72" s="54" t="s">
        <v>215</v>
      </c>
      <c r="J72" s="65" t="str">
        <f t="shared" si="6"/>
        <v>コチラにお問い合わせ下さい。</v>
      </c>
      <c r="K72" s="50"/>
    </row>
    <row r="73" spans="1:11" x14ac:dyDescent="0.55000000000000004">
      <c r="A73" s="64" t="s">
        <v>318</v>
      </c>
      <c r="B73" s="51" t="s">
        <v>319</v>
      </c>
      <c r="C73" s="51" t="s">
        <v>251</v>
      </c>
      <c r="D73" s="52" t="s">
        <v>95</v>
      </c>
      <c r="E73" s="52" t="s">
        <v>259</v>
      </c>
      <c r="F73" s="52" t="s">
        <v>83</v>
      </c>
      <c r="G73" s="53">
        <f t="shared" si="5"/>
        <v>1509</v>
      </c>
      <c r="H73" s="53"/>
      <c r="I73" s="54" t="s">
        <v>215</v>
      </c>
      <c r="J73" s="65" t="str">
        <f t="shared" si="6"/>
        <v>コチラにお問い合わせ下さい。</v>
      </c>
      <c r="K73" s="50"/>
    </row>
    <row r="74" spans="1:11" x14ac:dyDescent="0.55000000000000004">
      <c r="A74" s="62" t="s">
        <v>320</v>
      </c>
      <c r="B74" s="13" t="s">
        <v>100</v>
      </c>
      <c r="C74" s="13">
        <v>1</v>
      </c>
      <c r="D74" s="31" t="s">
        <v>88</v>
      </c>
      <c r="E74" s="31" t="s">
        <v>96</v>
      </c>
      <c r="F74" s="31" t="s">
        <v>83</v>
      </c>
      <c r="G74" s="39">
        <f t="shared" si="5"/>
        <v>1509</v>
      </c>
      <c r="H74" s="39"/>
      <c r="I74" s="36" t="s">
        <v>215</v>
      </c>
      <c r="J74" s="66" t="str">
        <f>HYPERLINK("https://www.nite.go.jp/nbrc/dbrp/dataview?dataId=ANGE0000500030610","ダウンロード")</f>
        <v>ダウンロード</v>
      </c>
      <c r="K74" s="50"/>
    </row>
    <row r="75" spans="1:11" x14ac:dyDescent="0.55000000000000004">
      <c r="A75" s="62" t="s">
        <v>320</v>
      </c>
      <c r="B75" s="13" t="s">
        <v>99</v>
      </c>
      <c r="C75" s="13">
        <v>1</v>
      </c>
      <c r="D75" s="31" t="s">
        <v>88</v>
      </c>
      <c r="E75" s="31" t="s">
        <v>96</v>
      </c>
      <c r="F75" s="31" t="s">
        <v>83</v>
      </c>
      <c r="G75" s="39">
        <f t="shared" si="5"/>
        <v>1509</v>
      </c>
      <c r="H75" s="39"/>
      <c r="I75" s="36" t="s">
        <v>215</v>
      </c>
      <c r="J75" s="66" t="str">
        <f>HYPERLINK("https://www.nite.go.jp/nbrc/dbrp/dataview?dataId=ANGE0000500030611","ダウンロード")</f>
        <v>ダウンロード</v>
      </c>
      <c r="K75" s="50"/>
    </row>
    <row r="76" spans="1:11" x14ac:dyDescent="0.55000000000000004">
      <c r="A76" s="62" t="s">
        <v>320</v>
      </c>
      <c r="B76" s="13" t="s">
        <v>98</v>
      </c>
      <c r="C76" s="13">
        <v>1</v>
      </c>
      <c r="D76" s="31" t="s">
        <v>88</v>
      </c>
      <c r="E76" s="31" t="s">
        <v>96</v>
      </c>
      <c r="F76" s="31" t="s">
        <v>83</v>
      </c>
      <c r="G76" s="39">
        <f t="shared" si="5"/>
        <v>1509</v>
      </c>
      <c r="H76" s="39"/>
      <c r="I76" s="36" t="s">
        <v>215</v>
      </c>
      <c r="J76" s="66" t="str">
        <f>HYPERLINK("https://www.nite.go.jp/nbrc/dbrp/dataview?dataId=ANGE0000500030612","ダウンロード")</f>
        <v>ダウンロード</v>
      </c>
      <c r="K76" s="50"/>
    </row>
    <row r="77" spans="1:11" x14ac:dyDescent="0.55000000000000004">
      <c r="A77" s="62" t="s">
        <v>320</v>
      </c>
      <c r="B77" s="13" t="s">
        <v>97</v>
      </c>
      <c r="C77" s="13">
        <v>1</v>
      </c>
      <c r="D77" s="31" t="s">
        <v>88</v>
      </c>
      <c r="E77" s="31" t="s">
        <v>259</v>
      </c>
      <c r="F77" s="31" t="s">
        <v>83</v>
      </c>
      <c r="G77" s="39">
        <f t="shared" si="5"/>
        <v>1509</v>
      </c>
      <c r="H77" s="39"/>
      <c r="I77" s="36" t="s">
        <v>215</v>
      </c>
      <c r="J77" s="66" t="str">
        <f>HYPERLINK("https://www.nite.go.jp/nbrc/dbrp/dataview?dataId=ANGE0000500030613","ダウンロード")</f>
        <v>ダウンロード</v>
      </c>
      <c r="K77" s="50"/>
    </row>
    <row r="78" spans="1:11" x14ac:dyDescent="0.55000000000000004">
      <c r="A78" s="64" t="s">
        <v>322</v>
      </c>
      <c r="B78" s="51" t="s">
        <v>323</v>
      </c>
      <c r="C78" s="51" t="s">
        <v>254</v>
      </c>
      <c r="D78" s="52" t="s">
        <v>95</v>
      </c>
      <c r="E78" s="52" t="s">
        <v>259</v>
      </c>
      <c r="F78" s="52" t="s">
        <v>83</v>
      </c>
      <c r="G78" s="53">
        <f t="shared" si="5"/>
        <v>1509</v>
      </c>
      <c r="H78" s="53"/>
      <c r="I78" s="54" t="s">
        <v>215</v>
      </c>
      <c r="J78" s="65" t="str">
        <f t="shared" ref="J78:J79" si="7">HYPERLINK("mailto:rd@nite.go.jp","コチラにお問い合わせ下さい。")</f>
        <v>コチラにお問い合わせ下さい。</v>
      </c>
      <c r="K78" s="50"/>
    </row>
    <row r="79" spans="1:11" x14ac:dyDescent="0.55000000000000004">
      <c r="A79" s="64" t="s">
        <v>322</v>
      </c>
      <c r="B79" s="51" t="s">
        <v>324</v>
      </c>
      <c r="C79" s="51" t="s">
        <v>254</v>
      </c>
      <c r="D79" s="52" t="s">
        <v>95</v>
      </c>
      <c r="E79" s="52" t="s">
        <v>259</v>
      </c>
      <c r="F79" s="52" t="s">
        <v>83</v>
      </c>
      <c r="G79" s="53">
        <f t="shared" si="5"/>
        <v>1509</v>
      </c>
      <c r="H79" s="53"/>
      <c r="I79" s="54" t="s">
        <v>215</v>
      </c>
      <c r="J79" s="65" t="str">
        <f t="shared" si="7"/>
        <v>コチラにお問い合わせ下さい。</v>
      </c>
      <c r="K79" s="50"/>
    </row>
    <row r="80" spans="1:11" x14ac:dyDescent="0.55000000000000004">
      <c r="A80" s="62" t="s">
        <v>325</v>
      </c>
      <c r="B80" s="13" t="s">
        <v>120</v>
      </c>
      <c r="C80" s="13">
        <v>1</v>
      </c>
      <c r="D80" s="31" t="s">
        <v>88</v>
      </c>
      <c r="E80" s="31" t="s">
        <v>96</v>
      </c>
      <c r="F80" s="31" t="s">
        <v>83</v>
      </c>
      <c r="G80" s="39">
        <f t="shared" si="5"/>
        <v>1509</v>
      </c>
      <c r="H80" s="39"/>
      <c r="I80" s="36" t="s">
        <v>215</v>
      </c>
      <c r="J80" s="66" t="str">
        <f>HYPERLINK("https://www.nite.go.jp/nbrc/dbrp/dataview?dataId=ANGE0000500030614","ダウンロード")</f>
        <v>ダウンロード</v>
      </c>
      <c r="K80" s="50"/>
    </row>
    <row r="81" spans="1:11" x14ac:dyDescent="0.55000000000000004">
      <c r="A81" s="62" t="s">
        <v>325</v>
      </c>
      <c r="B81" s="13" t="s">
        <v>119</v>
      </c>
      <c r="C81" s="13">
        <v>1</v>
      </c>
      <c r="D81" s="31" t="s">
        <v>88</v>
      </c>
      <c r="E81" s="31" t="s">
        <v>96</v>
      </c>
      <c r="F81" s="31" t="s">
        <v>83</v>
      </c>
      <c r="G81" s="39">
        <f t="shared" si="5"/>
        <v>1509</v>
      </c>
      <c r="H81" s="39"/>
      <c r="I81" s="36" t="s">
        <v>215</v>
      </c>
      <c r="J81" s="66" t="str">
        <f>HYPERLINK("https://www.nite.go.jp/nbrc/dbrp/dataview?dataId=ANGE0000500030615","ダウンロード")</f>
        <v>ダウンロード</v>
      </c>
      <c r="K81" s="50"/>
    </row>
    <row r="82" spans="1:11" x14ac:dyDescent="0.55000000000000004">
      <c r="A82" s="62" t="s">
        <v>326</v>
      </c>
      <c r="B82" s="13" t="s">
        <v>117</v>
      </c>
      <c r="C82" s="13">
        <v>1</v>
      </c>
      <c r="D82" s="31" t="s">
        <v>88</v>
      </c>
      <c r="E82" s="31" t="s">
        <v>96</v>
      </c>
      <c r="F82" s="31" t="s">
        <v>83</v>
      </c>
      <c r="G82" s="39">
        <f t="shared" si="5"/>
        <v>1509</v>
      </c>
      <c r="H82" s="39"/>
      <c r="I82" s="36" t="s">
        <v>215</v>
      </c>
      <c r="J82" s="66" t="str">
        <f>HYPERLINK("https://www.nite.go.jp/nbrc/dbrp/dataview?dataId=ANGE0000500030616","ダウンロード")</f>
        <v>ダウンロード</v>
      </c>
      <c r="K82" s="50"/>
    </row>
    <row r="83" spans="1:11" x14ac:dyDescent="0.55000000000000004">
      <c r="A83" s="62" t="s">
        <v>327</v>
      </c>
      <c r="B83" s="13" t="s">
        <v>101</v>
      </c>
      <c r="C83" s="13">
        <v>1</v>
      </c>
      <c r="D83" s="31" t="s">
        <v>88</v>
      </c>
      <c r="E83" s="31" t="s">
        <v>96</v>
      </c>
      <c r="F83" s="31" t="s">
        <v>83</v>
      </c>
      <c r="G83" s="39">
        <f t="shared" si="5"/>
        <v>1509</v>
      </c>
      <c r="H83" s="39"/>
      <c r="I83" s="36" t="s">
        <v>215</v>
      </c>
      <c r="J83" s="66" t="str">
        <f>HYPERLINK("https://www.nite.go.jp/nbrc/dbrp/dataview?dataId=ANGE0000500030618","ダウンロード")</f>
        <v>ダウンロード</v>
      </c>
      <c r="K83" s="50"/>
    </row>
    <row r="84" spans="1:11" x14ac:dyDescent="0.55000000000000004">
      <c r="A84" s="64" t="s">
        <v>327</v>
      </c>
      <c r="B84" s="51" t="s">
        <v>328</v>
      </c>
      <c r="C84" s="51" t="s">
        <v>251</v>
      </c>
      <c r="D84" s="52" t="s">
        <v>95</v>
      </c>
      <c r="E84" s="52" t="s">
        <v>259</v>
      </c>
      <c r="F84" s="52" t="s">
        <v>83</v>
      </c>
      <c r="G84" s="53">
        <f t="shared" si="5"/>
        <v>1509</v>
      </c>
      <c r="H84" s="53"/>
      <c r="I84" s="54" t="s">
        <v>215</v>
      </c>
      <c r="J84" s="65" t="str">
        <f t="shared" ref="J84:J88" si="8">HYPERLINK("mailto:rd@nite.go.jp","コチラにお問い合わせ下さい。")</f>
        <v>コチラにお問い合わせ下さい。</v>
      </c>
      <c r="K84" s="50"/>
    </row>
    <row r="85" spans="1:11" x14ac:dyDescent="0.55000000000000004">
      <c r="A85" s="64" t="s">
        <v>327</v>
      </c>
      <c r="B85" s="51" t="s">
        <v>329</v>
      </c>
      <c r="C85" s="51" t="s">
        <v>251</v>
      </c>
      <c r="D85" s="52" t="s">
        <v>95</v>
      </c>
      <c r="E85" s="52" t="s">
        <v>259</v>
      </c>
      <c r="F85" s="52" t="s">
        <v>83</v>
      </c>
      <c r="G85" s="53">
        <f t="shared" si="5"/>
        <v>1509</v>
      </c>
      <c r="H85" s="53"/>
      <c r="I85" s="54" t="s">
        <v>215</v>
      </c>
      <c r="J85" s="65" t="str">
        <f t="shared" si="8"/>
        <v>コチラにお問い合わせ下さい。</v>
      </c>
      <c r="K85" s="50"/>
    </row>
    <row r="86" spans="1:11" x14ac:dyDescent="0.55000000000000004">
      <c r="A86" s="64" t="s">
        <v>330</v>
      </c>
      <c r="B86" s="51" t="s">
        <v>331</v>
      </c>
      <c r="C86" s="51" t="s">
        <v>254</v>
      </c>
      <c r="D86" s="52" t="s">
        <v>95</v>
      </c>
      <c r="E86" s="52" t="s">
        <v>252</v>
      </c>
      <c r="F86" s="52" t="s">
        <v>83</v>
      </c>
      <c r="G86" s="53">
        <f t="shared" si="5"/>
        <v>1509</v>
      </c>
      <c r="H86" s="53"/>
      <c r="I86" s="54" t="s">
        <v>215</v>
      </c>
      <c r="J86" s="65" t="str">
        <f t="shared" si="8"/>
        <v>コチラにお問い合わせ下さい。</v>
      </c>
      <c r="K86" s="50"/>
    </row>
    <row r="87" spans="1:11" x14ac:dyDescent="0.55000000000000004">
      <c r="A87" s="64" t="s">
        <v>330</v>
      </c>
      <c r="B87" s="51" t="s">
        <v>332</v>
      </c>
      <c r="C87" s="51" t="s">
        <v>254</v>
      </c>
      <c r="D87" s="52" t="s">
        <v>95</v>
      </c>
      <c r="E87" s="52" t="s">
        <v>252</v>
      </c>
      <c r="F87" s="52" t="s">
        <v>83</v>
      </c>
      <c r="G87" s="53">
        <f t="shared" si="5"/>
        <v>1509</v>
      </c>
      <c r="H87" s="53"/>
      <c r="I87" s="54" t="s">
        <v>215</v>
      </c>
      <c r="J87" s="65" t="str">
        <f t="shared" si="8"/>
        <v>コチラにお問い合わせ下さい。</v>
      </c>
      <c r="K87" s="50"/>
    </row>
    <row r="88" spans="1:11" x14ac:dyDescent="0.55000000000000004">
      <c r="A88" s="64" t="s">
        <v>330</v>
      </c>
      <c r="B88" s="51" t="s">
        <v>333</v>
      </c>
      <c r="C88" s="51" t="s">
        <v>254</v>
      </c>
      <c r="D88" s="52" t="s">
        <v>95</v>
      </c>
      <c r="E88" s="52" t="s">
        <v>259</v>
      </c>
      <c r="F88" s="52" t="s">
        <v>83</v>
      </c>
      <c r="G88" s="53">
        <f t="shared" si="5"/>
        <v>1509</v>
      </c>
      <c r="H88" s="53"/>
      <c r="I88" s="54" t="s">
        <v>215</v>
      </c>
      <c r="J88" s="65" t="str">
        <f t="shared" si="8"/>
        <v>コチラにお問い合わせ下さい。</v>
      </c>
      <c r="K88" s="50"/>
    </row>
    <row r="89" spans="1:11" x14ac:dyDescent="0.55000000000000004">
      <c r="A89" s="62" t="s">
        <v>334</v>
      </c>
      <c r="B89" s="13" t="s">
        <v>123</v>
      </c>
      <c r="C89" s="13">
        <v>1</v>
      </c>
      <c r="D89" s="31" t="s">
        <v>88</v>
      </c>
      <c r="E89" s="31" t="s">
        <v>96</v>
      </c>
      <c r="F89" s="31" t="s">
        <v>83</v>
      </c>
      <c r="G89" s="39">
        <f t="shared" si="5"/>
        <v>1509</v>
      </c>
      <c r="H89" s="39"/>
      <c r="I89" s="36" t="s">
        <v>215</v>
      </c>
      <c r="J89" s="66" t="str">
        <f>HYPERLINK("https://www.nite.go.jp/nbrc/dbrp/dataview?dataId=ANGE0000500030620","ダウンロード")</f>
        <v>ダウンロード</v>
      </c>
      <c r="K89" s="50"/>
    </row>
    <row r="90" spans="1:11" x14ac:dyDescent="0.55000000000000004">
      <c r="A90" s="62" t="s">
        <v>335</v>
      </c>
      <c r="B90" s="13" t="s">
        <v>154</v>
      </c>
      <c r="C90" s="13">
        <v>1</v>
      </c>
      <c r="D90" s="31" t="s">
        <v>88</v>
      </c>
      <c r="E90" s="31" t="s">
        <v>153</v>
      </c>
      <c r="F90" s="31" t="s">
        <v>83</v>
      </c>
      <c r="G90" s="39">
        <f t="shared" si="5"/>
        <v>1509</v>
      </c>
      <c r="H90" s="39"/>
      <c r="I90" s="36" t="s">
        <v>215</v>
      </c>
      <c r="J90" s="66" t="str">
        <f>HYPERLINK("https://www.nite.go.jp/nbrc/dbrp/dataview?dataId=ANGE0000500030622","ダウンロード")</f>
        <v>ダウンロード</v>
      </c>
      <c r="K90" s="50"/>
    </row>
    <row r="91" spans="1:11" x14ac:dyDescent="0.55000000000000004">
      <c r="A91" s="62" t="s">
        <v>335</v>
      </c>
      <c r="B91" s="13" t="s">
        <v>152</v>
      </c>
      <c r="C91" s="13">
        <v>1</v>
      </c>
      <c r="D91" s="31" t="s">
        <v>88</v>
      </c>
      <c r="E91" s="31" t="s">
        <v>96</v>
      </c>
      <c r="F91" s="31" t="s">
        <v>83</v>
      </c>
      <c r="G91" s="39">
        <f t="shared" si="5"/>
        <v>1509</v>
      </c>
      <c r="H91" s="39"/>
      <c r="I91" s="36" t="s">
        <v>215</v>
      </c>
      <c r="J91" s="66" t="str">
        <f>HYPERLINK("https://www.nite.go.jp/nbrc/dbrp/dataview?dataId=ANGE0000500030623","ダウンロード")</f>
        <v>ダウンロード</v>
      </c>
      <c r="K91" s="50"/>
    </row>
    <row r="92" spans="1:11" x14ac:dyDescent="0.55000000000000004">
      <c r="A92" s="62" t="s">
        <v>335</v>
      </c>
      <c r="B92" s="13" t="s">
        <v>151</v>
      </c>
      <c r="C92" s="13">
        <v>1</v>
      </c>
      <c r="D92" s="31" t="s">
        <v>88</v>
      </c>
      <c r="E92" s="31" t="s">
        <v>96</v>
      </c>
      <c r="F92" s="31" t="s">
        <v>83</v>
      </c>
      <c r="G92" s="39">
        <f t="shared" si="5"/>
        <v>1509</v>
      </c>
      <c r="H92" s="39"/>
      <c r="I92" s="36" t="s">
        <v>215</v>
      </c>
      <c r="J92" s="66" t="str">
        <f>HYPERLINK("https://www.nite.go.jp/nbrc/dbrp/dataview?dataId=ANGE0000500030624","ダウンロード")</f>
        <v>ダウンロード</v>
      </c>
      <c r="K92" s="50"/>
    </row>
    <row r="93" spans="1:11" x14ac:dyDescent="0.55000000000000004">
      <c r="A93" s="62" t="s">
        <v>335</v>
      </c>
      <c r="B93" s="13" t="s">
        <v>150</v>
      </c>
      <c r="C93" s="13">
        <v>1</v>
      </c>
      <c r="D93" s="31" t="s">
        <v>88</v>
      </c>
      <c r="E93" s="31" t="s">
        <v>96</v>
      </c>
      <c r="F93" s="31" t="s">
        <v>83</v>
      </c>
      <c r="G93" s="39">
        <f t="shared" si="5"/>
        <v>1509</v>
      </c>
      <c r="H93" s="39"/>
      <c r="I93" s="36" t="s">
        <v>215</v>
      </c>
      <c r="J93" s="66" t="str">
        <f>HYPERLINK("https://www.nite.go.jp/nbrc/dbrp/dataview?dataId=ANGE0000500030625","ダウンロード")</f>
        <v>ダウンロード</v>
      </c>
      <c r="K93" s="50"/>
    </row>
    <row r="94" spans="1:11" x14ac:dyDescent="0.55000000000000004">
      <c r="A94" s="62" t="s">
        <v>336</v>
      </c>
      <c r="B94" s="13" t="s">
        <v>108</v>
      </c>
      <c r="C94" s="13">
        <v>1</v>
      </c>
      <c r="D94" s="31" t="s">
        <v>88</v>
      </c>
      <c r="E94" s="31" t="s">
        <v>106</v>
      </c>
      <c r="F94" s="31" t="s">
        <v>83</v>
      </c>
      <c r="G94" s="39">
        <f t="shared" si="5"/>
        <v>1509</v>
      </c>
      <c r="H94" s="39"/>
      <c r="I94" s="36" t="s">
        <v>215</v>
      </c>
      <c r="J94" s="66" t="str">
        <f>HYPERLINK("https://www.nite.go.jp/nbrc/dbrp/dataview?dataId=ANGE0000500030626","ダウンロード")</f>
        <v>ダウンロード</v>
      </c>
      <c r="K94" s="50"/>
    </row>
    <row r="95" spans="1:11" x14ac:dyDescent="0.55000000000000004">
      <c r="A95" s="62" t="s">
        <v>336</v>
      </c>
      <c r="B95" s="13" t="s">
        <v>107</v>
      </c>
      <c r="C95" s="13">
        <v>1</v>
      </c>
      <c r="D95" s="31" t="s">
        <v>88</v>
      </c>
      <c r="E95" s="31" t="s">
        <v>255</v>
      </c>
      <c r="F95" s="31" t="s">
        <v>83</v>
      </c>
      <c r="G95" s="39">
        <f t="shared" si="5"/>
        <v>1509</v>
      </c>
      <c r="H95" s="39"/>
      <c r="I95" s="36" t="s">
        <v>215</v>
      </c>
      <c r="J95" s="66" t="str">
        <f>HYPERLINK("https://www.nite.go.jp/nbrc/dbrp/dataview?dataId=ANGE0000500030627","ダウンロード")</f>
        <v>ダウンロード</v>
      </c>
      <c r="K95" s="50"/>
    </row>
    <row r="96" spans="1:11" x14ac:dyDescent="0.55000000000000004">
      <c r="A96" s="64" t="s">
        <v>337</v>
      </c>
      <c r="B96" s="51" t="s">
        <v>338</v>
      </c>
      <c r="C96" s="51" t="s">
        <v>251</v>
      </c>
      <c r="D96" s="52" t="s">
        <v>95</v>
      </c>
      <c r="E96" s="52" t="s">
        <v>255</v>
      </c>
      <c r="F96" s="52" t="s">
        <v>83</v>
      </c>
      <c r="G96" s="53">
        <f t="shared" si="5"/>
        <v>1509</v>
      </c>
      <c r="H96" s="53"/>
      <c r="I96" s="55" t="s">
        <v>339</v>
      </c>
      <c r="J96" s="65" t="str">
        <f t="shared" ref="J96:J100" si="9">HYPERLINK("mailto:rd@nite.go.jp","コチラにお問い合わせ下さい。")</f>
        <v>コチラにお問い合わせ下さい。</v>
      </c>
      <c r="K96" s="50"/>
    </row>
    <row r="97" spans="1:11" x14ac:dyDescent="0.55000000000000004">
      <c r="A97" s="64" t="s">
        <v>340</v>
      </c>
      <c r="B97" s="51" t="s">
        <v>341</v>
      </c>
      <c r="C97" s="51" t="s">
        <v>251</v>
      </c>
      <c r="D97" s="52" t="s">
        <v>95</v>
      </c>
      <c r="E97" s="52" t="s">
        <v>252</v>
      </c>
      <c r="F97" s="52" t="s">
        <v>83</v>
      </c>
      <c r="G97" s="53">
        <f t="shared" si="5"/>
        <v>1509</v>
      </c>
      <c r="H97" s="53"/>
      <c r="I97" s="55" t="s">
        <v>339</v>
      </c>
      <c r="J97" s="65" t="str">
        <f t="shared" si="9"/>
        <v>コチラにお問い合わせ下さい。</v>
      </c>
      <c r="K97" s="50"/>
    </row>
    <row r="98" spans="1:11" x14ac:dyDescent="0.55000000000000004">
      <c r="A98" s="64" t="s">
        <v>340</v>
      </c>
      <c r="B98" s="51" t="s">
        <v>342</v>
      </c>
      <c r="C98" s="51" t="s">
        <v>251</v>
      </c>
      <c r="D98" s="52" t="s">
        <v>95</v>
      </c>
      <c r="E98" s="52" t="s">
        <v>252</v>
      </c>
      <c r="F98" s="52" t="s">
        <v>83</v>
      </c>
      <c r="G98" s="53">
        <f t="shared" si="5"/>
        <v>1509</v>
      </c>
      <c r="H98" s="53"/>
      <c r="I98" s="55" t="s">
        <v>339</v>
      </c>
      <c r="J98" s="65" t="str">
        <f t="shared" si="9"/>
        <v>コチラにお問い合わせ下さい。</v>
      </c>
      <c r="K98" s="50"/>
    </row>
    <row r="99" spans="1:11" x14ac:dyDescent="0.55000000000000004">
      <c r="A99" s="64" t="s">
        <v>343</v>
      </c>
      <c r="B99" s="51" t="s">
        <v>344</v>
      </c>
      <c r="C99" s="51" t="s">
        <v>251</v>
      </c>
      <c r="D99" s="52" t="s">
        <v>95</v>
      </c>
      <c r="E99" s="52" t="s">
        <v>259</v>
      </c>
      <c r="F99" s="52" t="s">
        <v>83</v>
      </c>
      <c r="G99" s="53">
        <f t="shared" si="5"/>
        <v>1509</v>
      </c>
      <c r="H99" s="53"/>
      <c r="I99" s="55" t="s">
        <v>339</v>
      </c>
      <c r="J99" s="65" t="str">
        <f t="shared" si="9"/>
        <v>コチラにお問い合わせ下さい。</v>
      </c>
      <c r="K99" s="50"/>
    </row>
    <row r="100" spans="1:11" x14ac:dyDescent="0.55000000000000004">
      <c r="A100" s="64" t="s">
        <v>343</v>
      </c>
      <c r="B100" s="51" t="s">
        <v>345</v>
      </c>
      <c r="C100" s="51" t="s">
        <v>251</v>
      </c>
      <c r="D100" s="52" t="s">
        <v>95</v>
      </c>
      <c r="E100" s="52" t="s">
        <v>259</v>
      </c>
      <c r="F100" s="52" t="s">
        <v>83</v>
      </c>
      <c r="G100" s="53">
        <f t="shared" si="5"/>
        <v>1509</v>
      </c>
      <c r="H100" s="53"/>
      <c r="I100" s="55" t="s">
        <v>339</v>
      </c>
      <c r="J100" s="65" t="str">
        <f t="shared" si="9"/>
        <v>コチラにお問い合わせ下さい。</v>
      </c>
      <c r="K100" s="50"/>
    </row>
    <row r="101" spans="1:11" x14ac:dyDescent="0.55000000000000004">
      <c r="A101" s="67" t="s">
        <v>245</v>
      </c>
      <c r="B101" s="13" t="s">
        <v>134</v>
      </c>
      <c r="C101" s="13">
        <v>1</v>
      </c>
      <c r="D101" s="13" t="s">
        <v>95</v>
      </c>
      <c r="E101" s="13" t="s">
        <v>121</v>
      </c>
      <c r="F101" s="31" t="s">
        <v>83</v>
      </c>
      <c r="G101" s="39">
        <f t="shared" ref="G101:G106" si="10">HYPERLINK("https://www.nite.go.jp/nbrc/catalogue/NBRCMediumDetailServlet?NO=001545",1545)</f>
        <v>1545</v>
      </c>
      <c r="H101" s="39">
        <f t="shared" ref="H101:H106" si="11">HYPERLINK("https://www.nite.go.jp/nbrc/catalogue/NBRCMediumDetailServlet?NO=001509",1509)</f>
        <v>1509</v>
      </c>
      <c r="I101" s="31" t="s">
        <v>215</v>
      </c>
      <c r="J101" s="66" t="str">
        <f>HYPERLINK("https://www.nite.go.jp/nbrc/dbrp/dataview?dataId=ANGE0000500030775","ダウンロード")</f>
        <v>ダウンロード</v>
      </c>
      <c r="K101" s="50"/>
    </row>
    <row r="102" spans="1:11" x14ac:dyDescent="0.55000000000000004">
      <c r="A102" s="67" t="s">
        <v>245</v>
      </c>
      <c r="B102" s="13" t="s">
        <v>133</v>
      </c>
      <c r="C102" s="13">
        <v>1</v>
      </c>
      <c r="D102" s="13" t="s">
        <v>95</v>
      </c>
      <c r="E102" s="13" t="s">
        <v>102</v>
      </c>
      <c r="F102" s="31" t="s">
        <v>83</v>
      </c>
      <c r="G102" s="39">
        <f t="shared" si="10"/>
        <v>1545</v>
      </c>
      <c r="H102" s="39">
        <f t="shared" si="11"/>
        <v>1509</v>
      </c>
      <c r="I102" s="31" t="s">
        <v>215</v>
      </c>
      <c r="J102" s="66" t="str">
        <f>HYPERLINK("https://www.nite.go.jp/nbrc/dbrp/dataview?dataId=ANGE0000500030776","ダウンロード")</f>
        <v>ダウンロード</v>
      </c>
      <c r="K102" s="50"/>
    </row>
    <row r="103" spans="1:11" x14ac:dyDescent="0.55000000000000004">
      <c r="A103" s="67" t="s">
        <v>245</v>
      </c>
      <c r="B103" s="13" t="s">
        <v>132</v>
      </c>
      <c r="C103" s="13">
        <v>1</v>
      </c>
      <c r="D103" s="13" t="s">
        <v>95</v>
      </c>
      <c r="E103" s="13" t="s">
        <v>104</v>
      </c>
      <c r="F103" s="31" t="s">
        <v>83</v>
      </c>
      <c r="G103" s="39">
        <f t="shared" si="10"/>
        <v>1545</v>
      </c>
      <c r="H103" s="39">
        <f t="shared" si="11"/>
        <v>1509</v>
      </c>
      <c r="I103" s="31" t="s">
        <v>215</v>
      </c>
      <c r="J103" s="66" t="str">
        <f>HYPERLINK("https://www.nite.go.jp/nbrc/dbrp/dataview?dataId=ANGE0000500030777","ダウンロード")</f>
        <v>ダウンロード</v>
      </c>
      <c r="K103" s="50"/>
    </row>
    <row r="104" spans="1:11" x14ac:dyDescent="0.55000000000000004">
      <c r="A104" s="67" t="s">
        <v>245</v>
      </c>
      <c r="B104" s="13" t="s">
        <v>131</v>
      </c>
      <c r="C104" s="13">
        <v>1</v>
      </c>
      <c r="D104" s="13" t="s">
        <v>95</v>
      </c>
      <c r="E104" s="13" t="s">
        <v>121</v>
      </c>
      <c r="F104" s="31" t="s">
        <v>83</v>
      </c>
      <c r="G104" s="39">
        <f t="shared" si="10"/>
        <v>1545</v>
      </c>
      <c r="H104" s="39">
        <f t="shared" si="11"/>
        <v>1509</v>
      </c>
      <c r="I104" s="31" t="s">
        <v>215</v>
      </c>
      <c r="J104" s="66" t="str">
        <f>HYPERLINK("https://www.nite.go.jp/nbrc/dbrp/dataview?dataId=ANGE0000500030778","ダウンロード")</f>
        <v>ダウンロード</v>
      </c>
      <c r="K104" s="50"/>
    </row>
    <row r="105" spans="1:11" x14ac:dyDescent="0.55000000000000004">
      <c r="A105" s="67" t="s">
        <v>346</v>
      </c>
      <c r="B105" s="13" t="s">
        <v>103</v>
      </c>
      <c r="C105" s="13">
        <v>1</v>
      </c>
      <c r="D105" s="13" t="s">
        <v>95</v>
      </c>
      <c r="E105" s="13" t="s">
        <v>102</v>
      </c>
      <c r="F105" s="31" t="s">
        <v>83</v>
      </c>
      <c r="G105" s="39">
        <f t="shared" si="10"/>
        <v>1545</v>
      </c>
      <c r="H105" s="39">
        <f t="shared" si="11"/>
        <v>1509</v>
      </c>
      <c r="I105" s="31" t="s">
        <v>215</v>
      </c>
      <c r="J105" s="66" t="str">
        <f>HYPERLINK("https://www.nite.go.jp/nbrc/dbrp/dataview?dataId=ANGE0000500030779","ダウンロード")</f>
        <v>ダウンロード</v>
      </c>
      <c r="K105" s="50"/>
    </row>
    <row r="106" spans="1:11" x14ac:dyDescent="0.55000000000000004">
      <c r="A106" s="67" t="s">
        <v>283</v>
      </c>
      <c r="B106" s="13" t="s">
        <v>145</v>
      </c>
      <c r="C106" s="13">
        <v>1</v>
      </c>
      <c r="D106" s="13" t="s">
        <v>95</v>
      </c>
      <c r="E106" s="13" t="s">
        <v>104</v>
      </c>
      <c r="F106" s="31" t="s">
        <v>83</v>
      </c>
      <c r="G106" s="39">
        <f t="shared" si="10"/>
        <v>1545</v>
      </c>
      <c r="H106" s="39">
        <f t="shared" si="11"/>
        <v>1509</v>
      </c>
      <c r="I106" s="31" t="s">
        <v>215</v>
      </c>
      <c r="J106" s="66" t="str">
        <f>HYPERLINK("https://www.nite.go.jp/nbrc/dbrp/dataview?dataId=ANGE0000500030780","ダウンロード")</f>
        <v>ダウンロード</v>
      </c>
      <c r="K106" s="50"/>
    </row>
    <row r="107" spans="1:11" x14ac:dyDescent="0.55000000000000004">
      <c r="A107" s="67" t="s">
        <v>283</v>
      </c>
      <c r="B107" s="13" t="s">
        <v>144</v>
      </c>
      <c r="C107" s="13">
        <v>1</v>
      </c>
      <c r="D107" s="13" t="s">
        <v>95</v>
      </c>
      <c r="E107" s="13" t="s">
        <v>104</v>
      </c>
      <c r="F107" s="31" t="s">
        <v>83</v>
      </c>
      <c r="G107" s="39">
        <f>HYPERLINK("https://www.nite.go.jp/nbrc/catalogue/NBRCMediumDetailServlet?NO=000253",253)</f>
        <v>253</v>
      </c>
      <c r="H107" s="39">
        <f>HYPERLINK("https://www.nite.go.jp/nbrc/catalogue/NBRCMediumDetailServlet?NO=001572",1572)</f>
        <v>1572</v>
      </c>
      <c r="I107" s="31" t="s">
        <v>215</v>
      </c>
      <c r="J107" s="66" t="str">
        <f>HYPERLINK("https://www.nite.go.jp/nbrc/dbrp/dataview?dataId=ANGE0000500030781","ダウンロード")</f>
        <v>ダウンロード</v>
      </c>
    </row>
    <row r="108" spans="1:11" x14ac:dyDescent="0.55000000000000004">
      <c r="A108" s="67" t="s">
        <v>283</v>
      </c>
      <c r="B108" s="13" t="s">
        <v>143</v>
      </c>
      <c r="C108" s="13">
        <v>1</v>
      </c>
      <c r="D108" s="13" t="s">
        <v>95</v>
      </c>
      <c r="E108" s="13" t="s">
        <v>104</v>
      </c>
      <c r="F108" s="31" t="s">
        <v>83</v>
      </c>
      <c r="G108" s="39">
        <f>HYPERLINK("https://www.nite.go.jp/nbrc/catalogue/NBRCMediumDetailServlet?NO=000253",253)</f>
        <v>253</v>
      </c>
      <c r="H108" s="39">
        <f>HYPERLINK("https://www.nite.go.jp/nbrc/catalogue/NBRCMediumDetailServlet?NO=001572",1572)</f>
        <v>1572</v>
      </c>
      <c r="I108" s="31" t="s">
        <v>215</v>
      </c>
      <c r="J108" s="66" t="str">
        <f>HYPERLINK("https://www.nite.go.jp/nbrc/dbrp/dataview?dataId=ANGE0000500030782","ダウンロード")</f>
        <v>ダウンロード</v>
      </c>
    </row>
    <row r="109" spans="1:11" x14ac:dyDescent="0.55000000000000004">
      <c r="A109" s="67" t="s">
        <v>283</v>
      </c>
      <c r="B109" s="13" t="s">
        <v>142</v>
      </c>
      <c r="C109" s="13">
        <v>1</v>
      </c>
      <c r="D109" s="13" t="s">
        <v>95</v>
      </c>
      <c r="E109" s="13" t="s">
        <v>115</v>
      </c>
      <c r="F109" s="31" t="s">
        <v>83</v>
      </c>
      <c r="G109" s="39">
        <f>HYPERLINK("https://www.nite.go.jp/nbrc/catalogue/NBRCMediumDetailServlet?NO=000253",253)</f>
        <v>253</v>
      </c>
      <c r="H109" s="39">
        <f>HYPERLINK("https://www.nite.go.jp/nbrc/catalogue/NBRCMediumDetailServlet?NO=001572",1572)</f>
        <v>1572</v>
      </c>
      <c r="I109" s="31" t="s">
        <v>215</v>
      </c>
      <c r="J109" s="66" t="str">
        <f>HYPERLINK("https://www.nite.go.jp/nbrc/dbrp/dataview?dataId=ANGE0000500030783","ダウンロード")</f>
        <v>ダウンロード</v>
      </c>
    </row>
    <row r="110" spans="1:11" x14ac:dyDescent="0.55000000000000004">
      <c r="A110" s="64" t="s">
        <v>283</v>
      </c>
      <c r="B110" s="51" t="s">
        <v>347</v>
      </c>
      <c r="C110" s="51" t="s">
        <v>251</v>
      </c>
      <c r="D110" s="52" t="s">
        <v>95</v>
      </c>
      <c r="E110" s="52" t="s">
        <v>115</v>
      </c>
      <c r="F110" s="52" t="s">
        <v>83</v>
      </c>
      <c r="G110" s="53">
        <f>HYPERLINK("https://www.nite.go.jp/nbrc/catalogue/NBRCMediumDetailServlet?NO=000253",253)</f>
        <v>253</v>
      </c>
      <c r="H110" s="53">
        <f>HYPERLINK("https://www.nite.go.jp/nbrc/catalogue/NBRCMediumDetailServlet?NO=001572",1572)</f>
        <v>1572</v>
      </c>
      <c r="I110" s="54" t="s">
        <v>215</v>
      </c>
      <c r="J110" s="65" t="str">
        <f>HYPERLINK("mailto:rd@nite.go.jp","コチラにお問い合わせ下さい。")</f>
        <v>コチラにお問い合わせ下さい。</v>
      </c>
    </row>
    <row r="111" spans="1:11" x14ac:dyDescent="0.55000000000000004">
      <c r="A111" s="67" t="s">
        <v>283</v>
      </c>
      <c r="B111" s="13" t="s">
        <v>141</v>
      </c>
      <c r="C111" s="13">
        <v>1</v>
      </c>
      <c r="D111" s="13" t="s">
        <v>95</v>
      </c>
      <c r="E111" s="13" t="s">
        <v>104</v>
      </c>
      <c r="F111" s="31" t="s">
        <v>83</v>
      </c>
      <c r="G111" s="39">
        <f>HYPERLINK("https://www.nite.go.jp/nbrc/catalogue/NBRCMediumDetailServlet?NO=001545",1545)</f>
        <v>1545</v>
      </c>
      <c r="H111" s="39">
        <f>HYPERLINK("https://www.nite.go.jp/nbrc/catalogue/NBRCMediumDetailServlet?NO=001509",1509)</f>
        <v>1509</v>
      </c>
      <c r="I111" s="31" t="s">
        <v>215</v>
      </c>
      <c r="J111" s="66" t="str">
        <f>HYPERLINK("https://www.nite.go.jp/nbrc/dbrp/dataview?dataId=ANGE0000500030784","ダウンロード")</f>
        <v>ダウンロード</v>
      </c>
    </row>
    <row r="112" spans="1:11" x14ac:dyDescent="0.55000000000000004">
      <c r="A112" s="64" t="s">
        <v>283</v>
      </c>
      <c r="B112" s="51" t="s">
        <v>348</v>
      </c>
      <c r="C112" s="51" t="s">
        <v>254</v>
      </c>
      <c r="D112" s="52" t="s">
        <v>95</v>
      </c>
      <c r="E112" s="52" t="s">
        <v>104</v>
      </c>
      <c r="F112" s="52" t="s">
        <v>83</v>
      </c>
      <c r="G112" s="53">
        <f>HYPERLINK("https://www.nite.go.jp/nbrc/catalogue/NBRCMediumDetailServlet?NO=000253",253)</f>
        <v>253</v>
      </c>
      <c r="H112" s="53">
        <f>HYPERLINK("https://www.nite.go.jp/nbrc/catalogue/NBRCMediumDetailServlet?NO=001572",1572)</f>
        <v>1572</v>
      </c>
      <c r="I112" s="54" t="s">
        <v>215</v>
      </c>
      <c r="J112" s="65" t="str">
        <f t="shared" ref="J112:J114" si="12">HYPERLINK("mailto:rd@nite.go.jp","コチラにお問い合わせ下さい。")</f>
        <v>コチラにお問い合わせ下さい。</v>
      </c>
    </row>
    <row r="113" spans="1:10" x14ac:dyDescent="0.55000000000000004">
      <c r="A113" s="64" t="s">
        <v>349</v>
      </c>
      <c r="B113" s="51" t="s">
        <v>350</v>
      </c>
      <c r="C113" s="51" t="s">
        <v>251</v>
      </c>
      <c r="D113" s="52" t="s">
        <v>95</v>
      </c>
      <c r="E113" s="52" t="s">
        <v>104</v>
      </c>
      <c r="F113" s="52" t="s">
        <v>83</v>
      </c>
      <c r="G113" s="53">
        <f>HYPERLINK("https://www.nite.go.jp/nbrc/catalogue/NBRCMediumDetailServlet?NO=001545",1545)</f>
        <v>1545</v>
      </c>
      <c r="H113" s="53">
        <f>HYPERLINK("https://www.nite.go.jp/nbrc/catalogue/NBRCMediumDetailServlet?NO=001509",1509)</f>
        <v>1509</v>
      </c>
      <c r="I113" s="54" t="s">
        <v>215</v>
      </c>
      <c r="J113" s="65" t="str">
        <f t="shared" si="12"/>
        <v>コチラにお問い合わせ下さい。</v>
      </c>
    </row>
    <row r="114" spans="1:10" x14ac:dyDescent="0.55000000000000004">
      <c r="A114" s="64" t="s">
        <v>349</v>
      </c>
      <c r="B114" s="51" t="s">
        <v>351</v>
      </c>
      <c r="C114" s="51" t="s">
        <v>251</v>
      </c>
      <c r="D114" s="52" t="s">
        <v>95</v>
      </c>
      <c r="E114" s="52" t="s">
        <v>104</v>
      </c>
      <c r="F114" s="52" t="s">
        <v>83</v>
      </c>
      <c r="G114" s="53">
        <f>HYPERLINK("https://www.nite.go.jp/nbrc/catalogue/NBRCMediumDetailServlet?NO=000253",253)</f>
        <v>253</v>
      </c>
      <c r="H114" s="53">
        <f>HYPERLINK("https://www.nite.go.jp/nbrc/catalogue/NBRCMediumDetailServlet?NO=001572",1572)</f>
        <v>1572</v>
      </c>
      <c r="I114" s="54" t="s">
        <v>215</v>
      </c>
      <c r="J114" s="65" t="str">
        <f t="shared" si="12"/>
        <v>コチラにお問い合わせ下さい。</v>
      </c>
    </row>
    <row r="115" spans="1:10" x14ac:dyDescent="0.55000000000000004">
      <c r="A115" s="67" t="s">
        <v>352</v>
      </c>
      <c r="B115" s="13" t="s">
        <v>116</v>
      </c>
      <c r="C115" s="13">
        <v>1</v>
      </c>
      <c r="D115" s="13" t="s">
        <v>95</v>
      </c>
      <c r="E115" s="13" t="s">
        <v>115</v>
      </c>
      <c r="F115" s="31" t="s">
        <v>83</v>
      </c>
      <c r="G115" s="39">
        <f>HYPERLINK("https://www.nite.go.jp/nbrc/catalogue/NBRCMediumDetailServlet?NO=001545",1545)</f>
        <v>1545</v>
      </c>
      <c r="H115" s="39">
        <f>HYPERLINK("https://www.nite.go.jp/nbrc/catalogue/NBRCMediumDetailServlet?NO=001509",1509)</f>
        <v>1509</v>
      </c>
      <c r="I115" s="31" t="s">
        <v>215</v>
      </c>
      <c r="J115" s="66" t="str">
        <f>HYPERLINK("https://www.nite.go.jp/nbrc/dbrp/dataview?dataId=ANGE0000500030785","ダウンロード")</f>
        <v>ダウンロード</v>
      </c>
    </row>
    <row r="116" spans="1:10" x14ac:dyDescent="0.55000000000000004">
      <c r="A116" s="64" t="s">
        <v>353</v>
      </c>
      <c r="B116" s="51" t="s">
        <v>354</v>
      </c>
      <c r="C116" s="51" t="s">
        <v>251</v>
      </c>
      <c r="D116" s="52" t="s">
        <v>95</v>
      </c>
      <c r="E116" s="52" t="s">
        <v>104</v>
      </c>
      <c r="F116" s="52" t="s">
        <v>83</v>
      </c>
      <c r="G116" s="53">
        <f>HYPERLINK("https://www.nite.go.jp/nbrc/catalogue/NBRCMediumDetailServlet?NO=001572",1572)</f>
        <v>1572</v>
      </c>
      <c r="H116" s="53"/>
      <c r="I116" s="54" t="s">
        <v>215</v>
      </c>
      <c r="J116" s="65" t="str">
        <f>HYPERLINK("mailto:rd@nite.go.jp","コチラにお問い合わせ下さい。")</f>
        <v>コチラにお問い合わせ下さい。</v>
      </c>
    </row>
    <row r="117" spans="1:10" x14ac:dyDescent="0.55000000000000004">
      <c r="A117" s="67" t="s">
        <v>295</v>
      </c>
      <c r="B117" s="13" t="s">
        <v>109</v>
      </c>
      <c r="C117" s="13">
        <v>1</v>
      </c>
      <c r="D117" s="13" t="s">
        <v>95</v>
      </c>
      <c r="E117" s="13" t="s">
        <v>104</v>
      </c>
      <c r="F117" s="31" t="s">
        <v>83</v>
      </c>
      <c r="G117" s="39">
        <f>HYPERLINK("https://www.nite.go.jp/nbrc/catalogue/NBRCMediumDetailServlet?NO=000253",253)</f>
        <v>253</v>
      </c>
      <c r="H117" s="39">
        <f>HYPERLINK("https://www.nite.go.jp/nbrc/catalogue/NBRCMediumDetailServlet?NO=001572",1572)</f>
        <v>1572</v>
      </c>
      <c r="I117" s="31" t="s">
        <v>215</v>
      </c>
      <c r="J117" s="66" t="str">
        <f>HYPERLINK("https://www.nite.go.jp/nbrc/dbrp/dataview?dataId=ANGE0000500030786","ダウンロード")</f>
        <v>ダウンロード</v>
      </c>
    </row>
    <row r="118" spans="1:10" x14ac:dyDescent="0.55000000000000004">
      <c r="A118" s="67" t="s">
        <v>355</v>
      </c>
      <c r="B118" s="13" t="s">
        <v>149</v>
      </c>
      <c r="C118" s="13">
        <v>1</v>
      </c>
      <c r="D118" s="13" t="s">
        <v>95</v>
      </c>
      <c r="E118" s="13" t="s">
        <v>115</v>
      </c>
      <c r="F118" s="31" t="s">
        <v>83</v>
      </c>
      <c r="G118" s="39">
        <f>HYPERLINK("https://www.nite.go.jp/nbrc/catalogue/NBRCMediumDetailServlet?NO=001545",1545)</f>
        <v>1545</v>
      </c>
      <c r="H118" s="39">
        <f>HYPERLINK("https://www.nite.go.jp/nbrc/catalogue/NBRCMediumDetailServlet?NO=001509",1509)</f>
        <v>1509</v>
      </c>
      <c r="I118" s="31" t="s">
        <v>215</v>
      </c>
      <c r="J118" s="66" t="str">
        <f>HYPERLINK("https://www.nite.go.jp/nbrc/dbrp/dataview?dataId=ANGE0000500030788","ダウンロード")</f>
        <v>ダウンロード</v>
      </c>
    </row>
    <row r="119" spans="1:10" x14ac:dyDescent="0.55000000000000004">
      <c r="A119" s="67" t="s">
        <v>355</v>
      </c>
      <c r="B119" s="13" t="s">
        <v>148</v>
      </c>
      <c r="C119" s="13">
        <v>1</v>
      </c>
      <c r="D119" s="13" t="s">
        <v>95</v>
      </c>
      <c r="E119" s="13" t="s">
        <v>121</v>
      </c>
      <c r="F119" s="31" t="s">
        <v>83</v>
      </c>
      <c r="G119" s="39">
        <f>HYPERLINK("https://www.nite.go.jp/nbrc/catalogue/NBRCMediumDetailServlet?NO=001572",1572)</f>
        <v>1572</v>
      </c>
      <c r="H119" s="39">
        <f>HYPERLINK("https://www.nite.go.jp/nbrc/catalogue/NBRCMediumDetailServlet?NO=000253",253)</f>
        <v>253</v>
      </c>
      <c r="I119" s="31" t="s">
        <v>215</v>
      </c>
      <c r="J119" s="66" t="str">
        <f>HYPERLINK("https://www.nite.go.jp/nbrc/dbrp/dataview?dataId=ANGE0000500030789","ダウンロード")</f>
        <v>ダウンロード</v>
      </c>
    </row>
    <row r="120" spans="1:10" x14ac:dyDescent="0.55000000000000004">
      <c r="A120" s="67" t="s">
        <v>355</v>
      </c>
      <c r="B120" s="13" t="s">
        <v>147</v>
      </c>
      <c r="C120" s="13">
        <v>1</v>
      </c>
      <c r="D120" s="13" t="s">
        <v>95</v>
      </c>
      <c r="E120" s="13" t="s">
        <v>121</v>
      </c>
      <c r="F120" s="31" t="s">
        <v>83</v>
      </c>
      <c r="G120" s="39">
        <f>HYPERLINK("https://www.nite.go.jp/nbrc/catalogue/NBRCMediumDetailServlet?NO=000253",253)</f>
        <v>253</v>
      </c>
      <c r="H120" s="39">
        <f>HYPERLINK("https://www.nite.go.jp/nbrc/catalogue/NBRCMediumDetailServlet?NO=001572",1572)</f>
        <v>1572</v>
      </c>
      <c r="I120" s="31" t="s">
        <v>215</v>
      </c>
      <c r="J120" s="66" t="str">
        <f>HYPERLINK("https://www.nite.go.jp/nbrc/dbrp/dataview?dataId=ANGE0000500030790","ダウンロード")</f>
        <v>ダウンロード</v>
      </c>
    </row>
    <row r="121" spans="1:10" x14ac:dyDescent="0.55000000000000004">
      <c r="A121" s="67" t="s">
        <v>355</v>
      </c>
      <c r="B121" s="13" t="s">
        <v>146</v>
      </c>
      <c r="C121" s="13">
        <v>1</v>
      </c>
      <c r="D121" s="13" t="s">
        <v>95</v>
      </c>
      <c r="E121" s="13" t="s">
        <v>121</v>
      </c>
      <c r="F121" s="31" t="s">
        <v>83</v>
      </c>
      <c r="G121" s="39">
        <f>HYPERLINK("https://www.nite.go.jp/nbrc/catalogue/NBRCMediumDetailServlet?NO=001545",1545)</f>
        <v>1545</v>
      </c>
      <c r="H121" s="39">
        <f>HYPERLINK("https://www.nite.go.jp/nbrc/catalogue/NBRCMediumDetailServlet?NO=001509",1509)</f>
        <v>1509</v>
      </c>
      <c r="I121" s="31" t="s">
        <v>215</v>
      </c>
      <c r="J121" s="66" t="str">
        <f>HYPERLINK("https://www.nite.go.jp/nbrc/dbrp/dataview?dataId=ANGE0000500030791","ダウンロード")</f>
        <v>ダウンロード</v>
      </c>
    </row>
    <row r="122" spans="1:10" x14ac:dyDescent="0.55000000000000004">
      <c r="A122" s="67" t="s">
        <v>334</v>
      </c>
      <c r="B122" s="13" t="s">
        <v>122</v>
      </c>
      <c r="C122" s="13">
        <v>1</v>
      </c>
      <c r="D122" s="13" t="s">
        <v>95</v>
      </c>
      <c r="E122" s="13" t="s">
        <v>121</v>
      </c>
      <c r="F122" s="31" t="s">
        <v>83</v>
      </c>
      <c r="G122" s="39">
        <f>HYPERLINK("https://www.nite.go.jp/nbrc/catalogue/NBRCMediumDetailServlet?NO=001545",1545)</f>
        <v>1545</v>
      </c>
      <c r="H122" s="39">
        <f>HYPERLINK("https://www.nite.go.jp/nbrc/catalogue/NBRCMediumDetailServlet?NO=001509",1509)</f>
        <v>1509</v>
      </c>
      <c r="I122" s="31" t="s">
        <v>215</v>
      </c>
      <c r="J122" s="66" t="str">
        <f>HYPERLINK("https://www.nite.go.jp/nbrc/dbrp/dataview?dataId=ANGE0000500030792","ダウンロード")</f>
        <v>ダウンロード</v>
      </c>
    </row>
    <row r="123" spans="1:10" x14ac:dyDescent="0.55000000000000004">
      <c r="A123" s="67" t="s">
        <v>336</v>
      </c>
      <c r="B123" s="13" t="s">
        <v>105</v>
      </c>
      <c r="C123" s="13">
        <v>1</v>
      </c>
      <c r="D123" s="13" t="s">
        <v>95</v>
      </c>
      <c r="E123" s="13" t="s">
        <v>104</v>
      </c>
      <c r="F123" s="31" t="s">
        <v>83</v>
      </c>
      <c r="G123" s="39">
        <f>HYPERLINK("https://www.nite.go.jp/nbrc/catalogue/NBRCMediumDetailServlet?NO=001572",1572)</f>
        <v>1572</v>
      </c>
      <c r="H123" s="39"/>
      <c r="I123" s="31" t="s">
        <v>215</v>
      </c>
      <c r="J123" s="66" t="str">
        <f>HYPERLINK("https://www.nite.go.jp/nbrc/dbrp/dataview?dataId=ANGE0000500030794","ダウンロード")</f>
        <v>ダウンロード</v>
      </c>
    </row>
    <row r="124" spans="1:10" x14ac:dyDescent="0.55000000000000004">
      <c r="A124" s="67" t="s">
        <v>357</v>
      </c>
      <c r="B124" s="13" t="s">
        <v>118</v>
      </c>
      <c r="C124" s="13">
        <v>1</v>
      </c>
      <c r="D124" s="13" t="s">
        <v>95</v>
      </c>
      <c r="E124" s="13" t="s">
        <v>115</v>
      </c>
      <c r="F124" s="31" t="s">
        <v>83</v>
      </c>
      <c r="G124" s="39">
        <f>HYPERLINK("https://www.nite.go.jp/nbrc/catalogue/NBRCMediumDetailServlet?NO=001572",1572)</f>
        <v>1572</v>
      </c>
      <c r="H124" s="39"/>
      <c r="I124" s="31" t="s">
        <v>215</v>
      </c>
      <c r="J124" s="66" t="str">
        <f>HYPERLINK("https://www.nite.go.jp/nbrc/dbrp/dataview?dataId=ANGE0000500030799","ダウンロード")</f>
        <v>ダウンロード</v>
      </c>
    </row>
    <row r="125" spans="1:10" x14ac:dyDescent="0.55000000000000004">
      <c r="A125" s="64" t="s">
        <v>249</v>
      </c>
      <c r="B125" s="51" t="s">
        <v>358</v>
      </c>
      <c r="C125" s="51" t="s">
        <v>254</v>
      </c>
      <c r="D125" s="52" t="s">
        <v>222</v>
      </c>
      <c r="E125" s="52" t="s">
        <v>102</v>
      </c>
      <c r="F125" s="52" t="s">
        <v>83</v>
      </c>
      <c r="G125" s="53">
        <f>HYPERLINK("https://www.nite.go.jp/nbrc/catalogue/NBRCMediumDetailServlet?NO=001545",1545)</f>
        <v>1545</v>
      </c>
      <c r="H125" s="53">
        <f>HYPERLINK("https://www.nite.go.jp/nbrc/catalogue/NBRCMediumDetailServlet?NO=001509",1509)</f>
        <v>1509</v>
      </c>
      <c r="I125" s="54" t="s">
        <v>215</v>
      </c>
      <c r="J125" s="65" t="str">
        <f t="shared" ref="J125:J134" si="13">HYPERLINK("mailto:rd@nite.go.jp","コチラにお問い合わせ下さい。")</f>
        <v>コチラにお問い合わせ下さい。</v>
      </c>
    </row>
    <row r="126" spans="1:10" x14ac:dyDescent="0.55000000000000004">
      <c r="A126" s="64" t="s">
        <v>249</v>
      </c>
      <c r="B126" s="51" t="s">
        <v>359</v>
      </c>
      <c r="C126" s="51" t="s">
        <v>254</v>
      </c>
      <c r="D126" s="52" t="s">
        <v>222</v>
      </c>
      <c r="E126" s="52" t="s">
        <v>102</v>
      </c>
      <c r="F126" s="52" t="s">
        <v>83</v>
      </c>
      <c r="G126" s="53">
        <f>HYPERLINK("https://www.nite.go.jp/nbrc/catalogue/NBRCMediumDetailServlet?NO=001545",1545)</f>
        <v>1545</v>
      </c>
      <c r="H126" s="53">
        <f>HYPERLINK("https://www.nite.go.jp/nbrc/catalogue/NBRCMediumDetailServlet?NO=001509",1509)</f>
        <v>1509</v>
      </c>
      <c r="I126" s="54" t="s">
        <v>215</v>
      </c>
      <c r="J126" s="65" t="str">
        <f t="shared" si="13"/>
        <v>コチラにお問い合わせ下さい。</v>
      </c>
    </row>
    <row r="127" spans="1:10" x14ac:dyDescent="0.55000000000000004">
      <c r="A127" s="64" t="s">
        <v>283</v>
      </c>
      <c r="B127" s="51" t="s">
        <v>361</v>
      </c>
      <c r="C127" s="51" t="s">
        <v>254</v>
      </c>
      <c r="D127" s="52" t="s">
        <v>95</v>
      </c>
      <c r="E127" s="52" t="s">
        <v>121</v>
      </c>
      <c r="F127" s="52" t="s">
        <v>83</v>
      </c>
      <c r="G127" s="53">
        <f>HYPERLINK("https://www.nite.go.jp/nbrc/catalogue/NBRCMediumDetailServlet?NO=001545",1545)</f>
        <v>1545</v>
      </c>
      <c r="H127" s="53">
        <f>HYPERLINK("https://www.nite.go.jp/nbrc/catalogue/NBRCMediumDetailServlet?NO=001509",1509)</f>
        <v>1509</v>
      </c>
      <c r="I127" s="54" t="s">
        <v>215</v>
      </c>
      <c r="J127" s="65" t="str">
        <f t="shared" si="13"/>
        <v>コチラにお問い合わせ下さい。</v>
      </c>
    </row>
    <row r="128" spans="1:10" x14ac:dyDescent="0.55000000000000004">
      <c r="A128" s="64" t="s">
        <v>283</v>
      </c>
      <c r="B128" s="51" t="s">
        <v>362</v>
      </c>
      <c r="C128" s="51" t="s">
        <v>254</v>
      </c>
      <c r="D128" s="52" t="s">
        <v>95</v>
      </c>
      <c r="E128" s="52" t="s">
        <v>115</v>
      </c>
      <c r="F128" s="52" t="s">
        <v>83</v>
      </c>
      <c r="G128" s="53">
        <f>HYPERLINK("https://www.nite.go.jp/nbrc/catalogue/NBRCMediumDetailServlet?NO=000253",253)</f>
        <v>253</v>
      </c>
      <c r="H128" s="53">
        <f>HYPERLINK("https://www.nite.go.jp/nbrc/catalogue/NBRCMediumDetailServlet?NO=001572",1572)</f>
        <v>1572</v>
      </c>
      <c r="I128" s="54" t="s">
        <v>215</v>
      </c>
      <c r="J128" s="65" t="str">
        <f t="shared" si="13"/>
        <v>コチラにお問い合わせ下さい。</v>
      </c>
    </row>
    <row r="129" spans="1:10" x14ac:dyDescent="0.55000000000000004">
      <c r="A129" s="64" t="s">
        <v>283</v>
      </c>
      <c r="B129" s="51" t="s">
        <v>363</v>
      </c>
      <c r="C129" s="51" t="s">
        <v>254</v>
      </c>
      <c r="D129" s="52" t="s">
        <v>95</v>
      </c>
      <c r="E129" s="52" t="s">
        <v>115</v>
      </c>
      <c r="F129" s="52" t="s">
        <v>83</v>
      </c>
      <c r="G129" s="53">
        <f>HYPERLINK("https://www.nite.go.jp/nbrc/catalogue/NBRCMediumDetailServlet?NO=000253",253)</f>
        <v>253</v>
      </c>
      <c r="H129" s="53">
        <f>HYPERLINK("https://www.nite.go.jp/nbrc/catalogue/NBRCMediumDetailServlet?NO=001572",1572)</f>
        <v>1572</v>
      </c>
      <c r="I129" s="54" t="s">
        <v>215</v>
      </c>
      <c r="J129" s="65" t="str">
        <f t="shared" si="13"/>
        <v>コチラにお問い合わせ下さい。</v>
      </c>
    </row>
    <row r="130" spans="1:10" x14ac:dyDescent="0.55000000000000004">
      <c r="A130" s="64" t="s">
        <v>283</v>
      </c>
      <c r="B130" s="51" t="s">
        <v>364</v>
      </c>
      <c r="C130" s="51" t="s">
        <v>254</v>
      </c>
      <c r="D130" s="52" t="s">
        <v>95</v>
      </c>
      <c r="E130" s="52" t="s">
        <v>104</v>
      </c>
      <c r="F130" s="52" t="s">
        <v>83</v>
      </c>
      <c r="G130" s="53">
        <f>HYPERLINK("https://www.nite.go.jp/nbrc/catalogue/NBRCMediumDetailServlet?NO=001545",1545)</f>
        <v>1545</v>
      </c>
      <c r="H130" s="53">
        <f>HYPERLINK("https://www.nite.go.jp/nbrc/catalogue/NBRCMediumDetailServlet?NO=001509",1509)</f>
        <v>1509</v>
      </c>
      <c r="I130" s="54" t="s">
        <v>215</v>
      </c>
      <c r="J130" s="65" t="str">
        <f t="shared" si="13"/>
        <v>コチラにお問い合わせ下さい。</v>
      </c>
    </row>
    <row r="131" spans="1:10" x14ac:dyDescent="0.55000000000000004">
      <c r="A131" s="64" t="s">
        <v>283</v>
      </c>
      <c r="B131" s="51" t="s">
        <v>365</v>
      </c>
      <c r="C131" s="51" t="s">
        <v>254</v>
      </c>
      <c r="D131" s="52" t="s">
        <v>95</v>
      </c>
      <c r="E131" s="52" t="s">
        <v>115</v>
      </c>
      <c r="F131" s="52" t="s">
        <v>83</v>
      </c>
      <c r="G131" s="53">
        <f>HYPERLINK("https://www.nite.go.jp/nbrc/catalogue/NBRCMediumDetailServlet?NO=001545",1545)</f>
        <v>1545</v>
      </c>
      <c r="H131" s="53">
        <f>HYPERLINK("https://www.nite.go.jp/nbrc/catalogue/NBRCMediumDetailServlet?NO=001509",1509)</f>
        <v>1509</v>
      </c>
      <c r="I131" s="54" t="s">
        <v>215</v>
      </c>
      <c r="J131" s="65" t="str">
        <f t="shared" si="13"/>
        <v>コチラにお問い合わせ下さい。</v>
      </c>
    </row>
    <row r="132" spans="1:10" x14ac:dyDescent="0.55000000000000004">
      <c r="A132" s="64" t="s">
        <v>295</v>
      </c>
      <c r="B132" s="51" t="s">
        <v>366</v>
      </c>
      <c r="C132" s="51" t="s">
        <v>254</v>
      </c>
      <c r="D132" s="52" t="s">
        <v>95</v>
      </c>
      <c r="E132" s="52" t="s">
        <v>115</v>
      </c>
      <c r="F132" s="52" t="s">
        <v>83</v>
      </c>
      <c r="G132" s="53">
        <f>HYPERLINK("https://www.nite.go.jp/nbrc/catalogue/NBRCMediumDetailServlet?NO=001545",1545)</f>
        <v>1545</v>
      </c>
      <c r="H132" s="53">
        <f>HYPERLINK("https://www.nite.go.jp/nbrc/catalogue/NBRCMediumDetailServlet?NO=001509",1509)</f>
        <v>1509</v>
      </c>
      <c r="I132" s="54" t="s">
        <v>215</v>
      </c>
      <c r="J132" s="65" t="str">
        <f t="shared" si="13"/>
        <v>コチラにお問い合わせ下さい。</v>
      </c>
    </row>
    <row r="133" spans="1:10" x14ac:dyDescent="0.55000000000000004">
      <c r="A133" s="64" t="s">
        <v>343</v>
      </c>
      <c r="B133" s="51" t="s">
        <v>367</v>
      </c>
      <c r="C133" s="51" t="s">
        <v>251</v>
      </c>
      <c r="D133" s="52" t="s">
        <v>95</v>
      </c>
      <c r="E133" s="52" t="s">
        <v>102</v>
      </c>
      <c r="F133" s="52" t="s">
        <v>83</v>
      </c>
      <c r="G133" s="53">
        <f>HYPERLINK("https://www.nite.go.jp/nbrc/catalogue/NBRCMediumDetailServlet?NO=001545",1545)</f>
        <v>1545</v>
      </c>
      <c r="H133" s="53">
        <f>HYPERLINK("https://www.nite.go.jp/nbrc/catalogue/NBRCMediumDetailServlet?NO=001509",1509)</f>
        <v>1509</v>
      </c>
      <c r="I133" s="54" t="s">
        <v>215</v>
      </c>
      <c r="J133" s="65" t="str">
        <f t="shared" si="13"/>
        <v>コチラにお問い合わせ下さい。</v>
      </c>
    </row>
    <row r="134" spans="1:10" x14ac:dyDescent="0.55000000000000004">
      <c r="A134" s="64" t="s">
        <v>265</v>
      </c>
      <c r="B134" s="51" t="s">
        <v>368</v>
      </c>
      <c r="C134" s="51" t="s">
        <v>254</v>
      </c>
      <c r="D134" s="52" t="s">
        <v>95</v>
      </c>
      <c r="E134" s="52" t="s">
        <v>104</v>
      </c>
      <c r="F134" s="52" t="s">
        <v>83</v>
      </c>
      <c r="G134" s="53">
        <f>HYPERLINK("https://www.nite.go.jp/nbrc/catalogue/NBRCMediumDetailServlet?NO=001545",1545)</f>
        <v>1545</v>
      </c>
      <c r="H134" s="53">
        <f>HYPERLINK("https://www.nite.go.jp/nbrc/catalogue/NBRCMediumDetailServlet?NO=001509",1509)</f>
        <v>1509</v>
      </c>
      <c r="I134" s="54" t="s">
        <v>215</v>
      </c>
      <c r="J134" s="65" t="str">
        <f t="shared" si="13"/>
        <v>コチラにお問い合わせ下さい。</v>
      </c>
    </row>
    <row r="135" spans="1:10" x14ac:dyDescent="0.55000000000000004">
      <c r="A135" s="68" t="s">
        <v>369</v>
      </c>
      <c r="B135" s="3" t="s">
        <v>159</v>
      </c>
      <c r="C135" s="3">
        <v>1</v>
      </c>
      <c r="D135" s="3" t="s">
        <v>68</v>
      </c>
      <c r="E135" s="3" t="s">
        <v>115</v>
      </c>
      <c r="F135" s="31" t="s">
        <v>83</v>
      </c>
      <c r="G135" s="39">
        <f t="shared" ref="G135:G142" si="14">HYPERLINK("https://www.nite.go.jp/nbrc/catalogue/NBRCMediumDetailServlet?NO=001545",1545)</f>
        <v>1545</v>
      </c>
      <c r="H135" s="39">
        <f t="shared" ref="H135:H142" si="15">HYPERLINK("https://www.nite.go.jp/nbrc/catalogue/NBRCMediumDetailServlet?NO=001509",1509)</f>
        <v>1509</v>
      </c>
      <c r="I135" s="31" t="s">
        <v>215</v>
      </c>
      <c r="J135" s="66" t="str">
        <f>HYPERLINK("https://www.nite.go.jp/nbrc/dbrp/dataview?dataId=ANGE0000500031075","ダウンロード")</f>
        <v>ダウンロード</v>
      </c>
    </row>
    <row r="136" spans="1:10" x14ac:dyDescent="0.55000000000000004">
      <c r="A136" s="68" t="s">
        <v>369</v>
      </c>
      <c r="B136" s="3" t="s">
        <v>160</v>
      </c>
      <c r="C136" s="3">
        <v>1</v>
      </c>
      <c r="D136" s="3" t="s">
        <v>68</v>
      </c>
      <c r="E136" s="3" t="s">
        <v>102</v>
      </c>
      <c r="F136" s="31" t="s">
        <v>83</v>
      </c>
      <c r="G136" s="39">
        <f t="shared" si="14"/>
        <v>1545</v>
      </c>
      <c r="H136" s="39">
        <f t="shared" si="15"/>
        <v>1509</v>
      </c>
      <c r="I136" s="31" t="s">
        <v>215</v>
      </c>
      <c r="J136" s="66" t="str">
        <f>HYPERLINK("https://www.nite.go.jp/nbrc/dbrp/dataview?dataId=ANGE0000500031076","ダウンロード")</f>
        <v>ダウンロード</v>
      </c>
    </row>
    <row r="137" spans="1:10" x14ac:dyDescent="0.55000000000000004">
      <c r="A137" s="68" t="s">
        <v>369</v>
      </c>
      <c r="B137" s="3" t="s">
        <v>161</v>
      </c>
      <c r="C137" s="3">
        <v>1</v>
      </c>
      <c r="D137" s="3" t="s">
        <v>68</v>
      </c>
      <c r="E137" s="3" t="s">
        <v>115</v>
      </c>
      <c r="F137" s="31" t="s">
        <v>83</v>
      </c>
      <c r="G137" s="39">
        <f t="shared" si="14"/>
        <v>1545</v>
      </c>
      <c r="H137" s="39">
        <f t="shared" si="15"/>
        <v>1509</v>
      </c>
      <c r="I137" s="31" t="s">
        <v>215</v>
      </c>
      <c r="J137" s="66" t="str">
        <f>HYPERLINK("https://www.nite.go.jp/nbrc/dbrp/dataview?dataId=ANGE0000500031077","ダウンロード")</f>
        <v>ダウンロード</v>
      </c>
    </row>
    <row r="138" spans="1:10" x14ac:dyDescent="0.55000000000000004">
      <c r="A138" s="68" t="s">
        <v>369</v>
      </c>
      <c r="B138" s="3" t="s">
        <v>162</v>
      </c>
      <c r="C138" s="3">
        <v>1</v>
      </c>
      <c r="D138" s="3" t="s">
        <v>68</v>
      </c>
      <c r="E138" s="3" t="s">
        <v>102</v>
      </c>
      <c r="F138" s="31" t="s">
        <v>83</v>
      </c>
      <c r="G138" s="39">
        <f t="shared" si="14"/>
        <v>1545</v>
      </c>
      <c r="H138" s="39">
        <f t="shared" si="15"/>
        <v>1509</v>
      </c>
      <c r="I138" s="31" t="s">
        <v>215</v>
      </c>
      <c r="J138" s="66" t="str">
        <f>HYPERLINK("https://www.nite.go.jp/nbrc/dbrp/dataview?dataId=ANGE0000500031078","ダウンロード")</f>
        <v>ダウンロード</v>
      </c>
    </row>
    <row r="139" spans="1:10" x14ac:dyDescent="0.55000000000000004">
      <c r="A139" s="68" t="s">
        <v>369</v>
      </c>
      <c r="B139" s="3" t="s">
        <v>163</v>
      </c>
      <c r="C139" s="3">
        <v>1</v>
      </c>
      <c r="D139" s="3" t="s">
        <v>68</v>
      </c>
      <c r="E139" s="3" t="s">
        <v>102</v>
      </c>
      <c r="F139" s="31" t="s">
        <v>83</v>
      </c>
      <c r="G139" s="39">
        <f t="shared" si="14"/>
        <v>1545</v>
      </c>
      <c r="H139" s="39">
        <f t="shared" si="15"/>
        <v>1509</v>
      </c>
      <c r="I139" s="31" t="s">
        <v>215</v>
      </c>
      <c r="J139" s="66" t="str">
        <f>HYPERLINK("https://www.nite.go.jp/nbrc/dbrp/dataview?dataId=ANGE0000500031079","ダウンロード")</f>
        <v>ダウンロード</v>
      </c>
    </row>
    <row r="140" spans="1:10" x14ac:dyDescent="0.55000000000000004">
      <c r="A140" s="68" t="s">
        <v>369</v>
      </c>
      <c r="B140" s="3" t="s">
        <v>164</v>
      </c>
      <c r="C140" s="3">
        <v>1</v>
      </c>
      <c r="D140" s="3" t="s">
        <v>68</v>
      </c>
      <c r="E140" s="3" t="s">
        <v>102</v>
      </c>
      <c r="F140" s="31" t="s">
        <v>83</v>
      </c>
      <c r="G140" s="39">
        <f t="shared" si="14"/>
        <v>1545</v>
      </c>
      <c r="H140" s="39">
        <f t="shared" si="15"/>
        <v>1509</v>
      </c>
      <c r="I140" s="31" t="s">
        <v>215</v>
      </c>
      <c r="J140" s="66" t="str">
        <f>HYPERLINK("https://www.nite.go.jp/nbrc/dbrp/dataview?dataId=ANGE0000500031080","ダウンロード")</f>
        <v>ダウンロード</v>
      </c>
    </row>
    <row r="141" spans="1:10" x14ac:dyDescent="0.55000000000000004">
      <c r="A141" s="68" t="s">
        <v>369</v>
      </c>
      <c r="B141" s="3" t="s">
        <v>165</v>
      </c>
      <c r="C141" s="3">
        <v>1</v>
      </c>
      <c r="D141" s="3" t="s">
        <v>68</v>
      </c>
      <c r="E141" s="3" t="s">
        <v>102</v>
      </c>
      <c r="F141" s="31" t="s">
        <v>83</v>
      </c>
      <c r="G141" s="39">
        <f t="shared" si="14"/>
        <v>1545</v>
      </c>
      <c r="H141" s="39">
        <f t="shared" si="15"/>
        <v>1509</v>
      </c>
      <c r="I141" s="31" t="s">
        <v>215</v>
      </c>
      <c r="J141" s="66" t="str">
        <f>HYPERLINK("https://www.nite.go.jp/nbrc/dbrp/dataview?dataId=ANGE0000500031082","ダウンロード")</f>
        <v>ダウンロード</v>
      </c>
    </row>
    <row r="142" spans="1:10" x14ac:dyDescent="0.55000000000000004">
      <c r="A142" s="68" t="s">
        <v>369</v>
      </c>
      <c r="B142" s="3" t="s">
        <v>166</v>
      </c>
      <c r="C142" s="3">
        <v>1</v>
      </c>
      <c r="D142" s="3" t="s">
        <v>68</v>
      </c>
      <c r="E142" s="3" t="s">
        <v>121</v>
      </c>
      <c r="F142" s="31" t="s">
        <v>83</v>
      </c>
      <c r="G142" s="39">
        <f t="shared" si="14"/>
        <v>1545</v>
      </c>
      <c r="H142" s="39">
        <f t="shared" si="15"/>
        <v>1509</v>
      </c>
      <c r="I142" s="31" t="s">
        <v>215</v>
      </c>
      <c r="J142" s="66" t="str">
        <f>HYPERLINK("https://www.nite.go.jp/nbrc/dbrp/dataview?dataId=ANGE0000500031083","ダウンロード")</f>
        <v>ダウンロード</v>
      </c>
    </row>
    <row r="143" spans="1:10" x14ac:dyDescent="0.55000000000000004">
      <c r="A143" s="68" t="s">
        <v>369</v>
      </c>
      <c r="B143" s="3" t="s">
        <v>167</v>
      </c>
      <c r="C143" s="3">
        <v>1</v>
      </c>
      <c r="D143" s="3" t="s">
        <v>68</v>
      </c>
      <c r="E143" s="3" t="s">
        <v>115</v>
      </c>
      <c r="F143" s="31" t="s">
        <v>83</v>
      </c>
      <c r="G143" s="39">
        <f>HYPERLINK("https://www.nite.go.jp/nbrc/catalogue/NBRCMediumDetailServlet?NO=000253",253)</f>
        <v>253</v>
      </c>
      <c r="H143" s="39">
        <f>HYPERLINK("https://www.nite.go.jp/nbrc/catalogue/NBRCMediumDetailServlet?NO=001572",1572)</f>
        <v>1572</v>
      </c>
      <c r="I143" s="31" t="s">
        <v>215</v>
      </c>
      <c r="J143" s="66" t="str">
        <f>HYPERLINK("https://www.nite.go.jp/nbrc/dbrp/dataview?dataId=ANGE0000500031084","ダウンロード")</f>
        <v>ダウンロード</v>
      </c>
    </row>
    <row r="144" spans="1:10" x14ac:dyDescent="0.55000000000000004">
      <c r="A144" s="68" t="s">
        <v>370</v>
      </c>
      <c r="B144" s="3" t="s">
        <v>168</v>
      </c>
      <c r="C144" s="3">
        <v>1</v>
      </c>
      <c r="D144" s="3" t="s">
        <v>68</v>
      </c>
      <c r="E144" s="3" t="s">
        <v>115</v>
      </c>
      <c r="F144" s="31" t="s">
        <v>83</v>
      </c>
      <c r="G144" s="39">
        <f>HYPERLINK("https://www.nite.go.jp/nbrc/catalogue/NBRCMediumDetailServlet?NO=001574",1574)</f>
        <v>1574</v>
      </c>
      <c r="H144" s="39">
        <f>HYPERLINK("https://www.nite.go.jp/nbrc/catalogue/NBRCMediumDetailServlet?NO=001535",1535)</f>
        <v>1535</v>
      </c>
      <c r="I144" s="31" t="s">
        <v>215</v>
      </c>
      <c r="J144" s="66" t="str">
        <f>HYPERLINK("https://www.nite.go.jp/nbrc/dbrp/dataview?dataId=ANGE0000500031085","ダウンロード")</f>
        <v>ダウンロード</v>
      </c>
    </row>
    <row r="145" spans="1:10" x14ac:dyDescent="0.55000000000000004">
      <c r="A145" s="68" t="s">
        <v>371</v>
      </c>
      <c r="B145" s="3" t="s">
        <v>169</v>
      </c>
      <c r="C145" s="3">
        <v>1</v>
      </c>
      <c r="D145" s="3" t="s">
        <v>68</v>
      </c>
      <c r="E145" s="3" t="s">
        <v>102</v>
      </c>
      <c r="F145" s="31" t="s">
        <v>83</v>
      </c>
      <c r="G145" s="39">
        <f>HYPERLINK("https://www.nite.go.jp/nbrc/catalogue/NBRCMediumDetailServlet?NO=001574",1574)</f>
        <v>1574</v>
      </c>
      <c r="H145" s="39">
        <f>HYPERLINK("https://www.nite.go.jp/nbrc/catalogue/NBRCMediumDetailServlet?NO=001535",1535)</f>
        <v>1535</v>
      </c>
      <c r="I145" s="31" t="s">
        <v>215</v>
      </c>
      <c r="J145" s="66" t="str">
        <f>HYPERLINK("https://www.nite.go.jp/nbrc/dbrp/dataview?dataId=ANGE0000500031086","ダウンロード")</f>
        <v>ダウンロード</v>
      </c>
    </row>
    <row r="146" spans="1:10" x14ac:dyDescent="0.55000000000000004">
      <c r="A146" s="64" t="s">
        <v>283</v>
      </c>
      <c r="B146" s="51" t="s">
        <v>372</v>
      </c>
      <c r="C146" s="51" t="s">
        <v>251</v>
      </c>
      <c r="D146" s="52" t="s">
        <v>95</v>
      </c>
      <c r="E146" s="52" t="s">
        <v>115</v>
      </c>
      <c r="F146" s="52" t="s">
        <v>83</v>
      </c>
      <c r="G146" s="53">
        <f>HYPERLINK("https://www.nite.go.jp/nbrc/catalogue/NBRCMediumDetailServlet?NO=000253",253)</f>
        <v>253</v>
      </c>
      <c r="H146" s="53">
        <f>HYPERLINK("https://www.nite.go.jp/nbrc/catalogue/NBRCMediumDetailServlet?NO=001572",1572)</f>
        <v>1572</v>
      </c>
      <c r="I146" s="54" t="s">
        <v>215</v>
      </c>
      <c r="J146" s="65" t="str">
        <f t="shared" ref="J146:J148" si="16">HYPERLINK("mailto:rd@nite.go.jp","コチラにお問い合わせ下さい。")</f>
        <v>コチラにお問い合わせ下さい。</v>
      </c>
    </row>
    <row r="147" spans="1:10" x14ac:dyDescent="0.55000000000000004">
      <c r="A147" s="64" t="s">
        <v>349</v>
      </c>
      <c r="B147" s="51" t="s">
        <v>373</v>
      </c>
      <c r="C147" s="51" t="s">
        <v>251</v>
      </c>
      <c r="D147" s="52" t="s">
        <v>95</v>
      </c>
      <c r="E147" s="52" t="s">
        <v>104</v>
      </c>
      <c r="F147" s="52" t="s">
        <v>83</v>
      </c>
      <c r="G147" s="53">
        <f>HYPERLINK("https://www.nite.go.jp/nbrc/catalogue/NBRCMediumDetailServlet?NO=001574",1574)</f>
        <v>1574</v>
      </c>
      <c r="H147" s="53">
        <f>HYPERLINK("https://www.nite.go.jp/nbrc/catalogue/NBRCMediumDetailServlet?NO=001535",1535)</f>
        <v>1535</v>
      </c>
      <c r="I147" s="54" t="s">
        <v>215</v>
      </c>
      <c r="J147" s="65" t="str">
        <f t="shared" si="16"/>
        <v>コチラにお問い合わせ下さい。</v>
      </c>
    </row>
    <row r="148" spans="1:10" x14ac:dyDescent="0.55000000000000004">
      <c r="A148" s="64" t="s">
        <v>349</v>
      </c>
      <c r="B148" s="51" t="s">
        <v>374</v>
      </c>
      <c r="C148" s="51" t="s">
        <v>251</v>
      </c>
      <c r="D148" s="52" t="s">
        <v>95</v>
      </c>
      <c r="E148" s="52" t="s">
        <v>115</v>
      </c>
      <c r="F148" s="52" t="s">
        <v>83</v>
      </c>
      <c r="G148" s="53">
        <f>HYPERLINK("https://www.nite.go.jp/nbrc/catalogue/NBRCMediumDetailServlet?NO=001574",1574)</f>
        <v>1574</v>
      </c>
      <c r="H148" s="53">
        <f>HYPERLINK("https://www.nite.go.jp/nbrc/catalogue/NBRCMediumDetailServlet?NO=001535",1535)</f>
        <v>1535</v>
      </c>
      <c r="I148" s="54" t="s">
        <v>215</v>
      </c>
      <c r="J148" s="65" t="str">
        <f t="shared" si="16"/>
        <v>コチラにお問い合わせ下さい。</v>
      </c>
    </row>
    <row r="149" spans="1:10" x14ac:dyDescent="0.55000000000000004">
      <c r="A149" s="68" t="s">
        <v>375</v>
      </c>
      <c r="B149" s="3" t="s">
        <v>170</v>
      </c>
      <c r="C149" s="3">
        <v>1</v>
      </c>
      <c r="D149" s="3" t="s">
        <v>68</v>
      </c>
      <c r="E149" s="3" t="s">
        <v>115</v>
      </c>
      <c r="F149" s="31" t="s">
        <v>83</v>
      </c>
      <c r="G149" s="39">
        <f>HYPERLINK("https://www.nite.go.jp/nbrc/catalogue/NBRCMediumDetailServlet?NO=001535",1535)</f>
        <v>1535</v>
      </c>
      <c r="H149" s="39"/>
      <c r="I149" s="31" t="s">
        <v>215</v>
      </c>
      <c r="J149" s="66" t="str">
        <f>HYPERLINK("https://www.nite.go.jp/nbrc/dbrp/dataview?dataId=ANGE0000500031087","ダウンロード")</f>
        <v>ダウンロード</v>
      </c>
    </row>
    <row r="150" spans="1:10" x14ac:dyDescent="0.55000000000000004">
      <c r="A150" s="64" t="s">
        <v>310</v>
      </c>
      <c r="B150" s="51" t="s">
        <v>376</v>
      </c>
      <c r="C150" s="51" t="s">
        <v>251</v>
      </c>
      <c r="D150" s="52" t="s">
        <v>95</v>
      </c>
      <c r="E150" s="52" t="s">
        <v>104</v>
      </c>
      <c r="F150" s="52" t="s">
        <v>83</v>
      </c>
      <c r="G150" s="53">
        <f t="shared" ref="G150:G165" si="17">HYPERLINK("https://www.nite.go.jp/nbrc/catalogue/NBRCMediumDetailServlet?NO=001574",1574)</f>
        <v>1574</v>
      </c>
      <c r="H150" s="53">
        <f t="shared" ref="H150:H165" si="18">HYPERLINK("https://www.nite.go.jp/nbrc/catalogue/NBRCMediumDetailServlet?NO=001535",1535)</f>
        <v>1535</v>
      </c>
      <c r="I150" s="54" t="s">
        <v>215</v>
      </c>
      <c r="J150" s="65" t="str">
        <f>HYPERLINK("mailto:rd@nite.go.jp","コチラにお問い合わせ下さい。")</f>
        <v>コチラにお問い合わせ下さい。</v>
      </c>
    </row>
    <row r="151" spans="1:10" x14ac:dyDescent="0.55000000000000004">
      <c r="A151" s="68" t="s">
        <v>377</v>
      </c>
      <c r="B151" s="3" t="s">
        <v>171</v>
      </c>
      <c r="C151" s="3">
        <v>1</v>
      </c>
      <c r="D151" s="3" t="s">
        <v>68</v>
      </c>
      <c r="E151" s="3" t="s">
        <v>104</v>
      </c>
      <c r="F151" s="31" t="s">
        <v>83</v>
      </c>
      <c r="G151" s="39">
        <f t="shared" si="17"/>
        <v>1574</v>
      </c>
      <c r="H151" s="39">
        <f t="shared" si="18"/>
        <v>1535</v>
      </c>
      <c r="I151" s="31" t="s">
        <v>215</v>
      </c>
      <c r="J151" s="66" t="str">
        <f>HYPERLINK("https://www.nite.go.jp/nbrc/dbrp/dataview?dataId=ANGE0000500031088","ダウンロード")</f>
        <v>ダウンロード</v>
      </c>
    </row>
    <row r="152" spans="1:10" x14ac:dyDescent="0.55000000000000004">
      <c r="A152" s="68" t="s">
        <v>378</v>
      </c>
      <c r="B152" s="3" t="s">
        <v>172</v>
      </c>
      <c r="C152" s="3">
        <v>1</v>
      </c>
      <c r="D152" s="3" t="s">
        <v>68</v>
      </c>
      <c r="E152" s="3" t="s">
        <v>102</v>
      </c>
      <c r="F152" s="31" t="s">
        <v>83</v>
      </c>
      <c r="G152" s="39">
        <f t="shared" si="17"/>
        <v>1574</v>
      </c>
      <c r="H152" s="39">
        <f t="shared" si="18"/>
        <v>1535</v>
      </c>
      <c r="I152" s="31" t="s">
        <v>215</v>
      </c>
      <c r="J152" s="66" t="str">
        <f>HYPERLINK("https://www.nite.go.jp/nbrc/dbrp/dataview?dataId=ANGE0000500031089","ダウンロード")</f>
        <v>ダウンロード</v>
      </c>
    </row>
    <row r="153" spans="1:10" x14ac:dyDescent="0.55000000000000004">
      <c r="A153" s="64" t="s">
        <v>307</v>
      </c>
      <c r="B153" s="51" t="s">
        <v>379</v>
      </c>
      <c r="C153" s="51" t="s">
        <v>251</v>
      </c>
      <c r="D153" s="52" t="s">
        <v>95</v>
      </c>
      <c r="E153" s="52" t="s">
        <v>115</v>
      </c>
      <c r="F153" s="52" t="s">
        <v>83</v>
      </c>
      <c r="G153" s="53">
        <f t="shared" si="17"/>
        <v>1574</v>
      </c>
      <c r="H153" s="53">
        <f t="shared" si="18"/>
        <v>1535</v>
      </c>
      <c r="I153" s="54" t="s">
        <v>215</v>
      </c>
      <c r="J153" s="65" t="str">
        <f t="shared" ref="J153:J154" si="19">HYPERLINK("mailto:rd@nite.go.jp","コチラにお問い合わせ下さい。")</f>
        <v>コチラにお問い合わせ下さい。</v>
      </c>
    </row>
    <row r="154" spans="1:10" x14ac:dyDescent="0.55000000000000004">
      <c r="A154" s="64" t="s">
        <v>380</v>
      </c>
      <c r="B154" s="51" t="s">
        <v>381</v>
      </c>
      <c r="C154" s="51" t="s">
        <v>312</v>
      </c>
      <c r="D154" s="52" t="s">
        <v>95</v>
      </c>
      <c r="E154" s="52" t="s">
        <v>104</v>
      </c>
      <c r="F154" s="52" t="s">
        <v>83</v>
      </c>
      <c r="G154" s="53">
        <f t="shared" si="17"/>
        <v>1574</v>
      </c>
      <c r="H154" s="53">
        <f t="shared" si="18"/>
        <v>1535</v>
      </c>
      <c r="I154" s="54" t="s">
        <v>215</v>
      </c>
      <c r="J154" s="65" t="str">
        <f t="shared" si="19"/>
        <v>コチラにお問い合わせ下さい。</v>
      </c>
    </row>
    <row r="155" spans="1:10" x14ac:dyDescent="0.55000000000000004">
      <c r="A155" s="68" t="s">
        <v>382</v>
      </c>
      <c r="B155" s="3" t="s">
        <v>173</v>
      </c>
      <c r="C155" s="3">
        <v>1</v>
      </c>
      <c r="D155" s="3" t="s">
        <v>68</v>
      </c>
      <c r="E155" s="3" t="s">
        <v>115</v>
      </c>
      <c r="F155" s="31" t="s">
        <v>83</v>
      </c>
      <c r="G155" s="39">
        <f t="shared" si="17"/>
        <v>1574</v>
      </c>
      <c r="H155" s="39">
        <f t="shared" si="18"/>
        <v>1535</v>
      </c>
      <c r="I155" s="31" t="s">
        <v>215</v>
      </c>
      <c r="J155" s="66" t="str">
        <f>HYPERLINK("https://www.nite.go.jp/nbrc/dbrp/dataview?dataId=ANGE0000500031091","ダウンロード")</f>
        <v>ダウンロード</v>
      </c>
    </row>
    <row r="156" spans="1:10" x14ac:dyDescent="0.55000000000000004">
      <c r="A156" s="64" t="s">
        <v>383</v>
      </c>
      <c r="B156" s="51" t="s">
        <v>384</v>
      </c>
      <c r="C156" s="51" t="s">
        <v>251</v>
      </c>
      <c r="D156" s="52" t="s">
        <v>95</v>
      </c>
      <c r="E156" s="52" t="s">
        <v>121</v>
      </c>
      <c r="F156" s="52" t="s">
        <v>83</v>
      </c>
      <c r="G156" s="53">
        <f t="shared" si="17"/>
        <v>1574</v>
      </c>
      <c r="H156" s="53">
        <f t="shared" si="18"/>
        <v>1535</v>
      </c>
      <c r="I156" s="54" t="s">
        <v>215</v>
      </c>
      <c r="J156" s="65" t="str">
        <f t="shared" ref="J156:J157" si="20">HYPERLINK("mailto:rd@nite.go.jp","コチラにお問い合わせ下さい。")</f>
        <v>コチラにお問い合わせ下さい。</v>
      </c>
    </row>
    <row r="157" spans="1:10" x14ac:dyDescent="0.55000000000000004">
      <c r="A157" s="64" t="s">
        <v>385</v>
      </c>
      <c r="B157" s="51" t="s">
        <v>386</v>
      </c>
      <c r="C157" s="51" t="s">
        <v>251</v>
      </c>
      <c r="D157" s="52" t="s">
        <v>95</v>
      </c>
      <c r="E157" s="52" t="s">
        <v>104</v>
      </c>
      <c r="F157" s="52" t="s">
        <v>83</v>
      </c>
      <c r="G157" s="53">
        <f t="shared" si="17"/>
        <v>1574</v>
      </c>
      <c r="H157" s="53">
        <f t="shared" si="18"/>
        <v>1535</v>
      </c>
      <c r="I157" s="54" t="s">
        <v>215</v>
      </c>
      <c r="J157" s="65" t="str">
        <f t="shared" si="20"/>
        <v>コチラにお問い合わせ下さい。</v>
      </c>
    </row>
    <row r="158" spans="1:10" x14ac:dyDescent="0.55000000000000004">
      <c r="A158" s="68" t="s">
        <v>387</v>
      </c>
      <c r="B158" s="3" t="s">
        <v>174</v>
      </c>
      <c r="C158" s="3">
        <v>1</v>
      </c>
      <c r="D158" s="3" t="s">
        <v>68</v>
      </c>
      <c r="E158" s="3" t="s">
        <v>102</v>
      </c>
      <c r="F158" s="31" t="s">
        <v>83</v>
      </c>
      <c r="G158" s="39">
        <f t="shared" si="17"/>
        <v>1574</v>
      </c>
      <c r="H158" s="39">
        <f t="shared" si="18"/>
        <v>1535</v>
      </c>
      <c r="I158" s="31" t="s">
        <v>215</v>
      </c>
      <c r="J158" s="66" t="str">
        <f>HYPERLINK("https://www.nite.go.jp/nbrc/dbrp/dataview?dataId=ANGE0000500031092","ダウンロード")</f>
        <v>ダウンロード</v>
      </c>
    </row>
    <row r="159" spans="1:10" x14ac:dyDescent="0.55000000000000004">
      <c r="A159" s="68" t="s">
        <v>387</v>
      </c>
      <c r="B159" s="3" t="s">
        <v>175</v>
      </c>
      <c r="C159" s="3">
        <v>1</v>
      </c>
      <c r="D159" s="3" t="s">
        <v>68</v>
      </c>
      <c r="E159" s="3" t="s">
        <v>115</v>
      </c>
      <c r="F159" s="31" t="s">
        <v>83</v>
      </c>
      <c r="G159" s="39">
        <f t="shared" si="17"/>
        <v>1574</v>
      </c>
      <c r="H159" s="39">
        <f t="shared" si="18"/>
        <v>1535</v>
      </c>
      <c r="I159" s="31" t="s">
        <v>215</v>
      </c>
      <c r="J159" s="66" t="str">
        <f>HYPERLINK("https://www.nite.go.jp/nbrc/dbrp/dataview?dataId=ANGE0000500031093","ダウンロード")</f>
        <v>ダウンロード</v>
      </c>
    </row>
    <row r="160" spans="1:10" x14ac:dyDescent="0.55000000000000004">
      <c r="A160" s="68" t="s">
        <v>388</v>
      </c>
      <c r="B160" s="3" t="s">
        <v>176</v>
      </c>
      <c r="C160" s="3">
        <v>1</v>
      </c>
      <c r="D160" s="3" t="s">
        <v>68</v>
      </c>
      <c r="E160" s="3" t="s">
        <v>104</v>
      </c>
      <c r="F160" s="31" t="s">
        <v>83</v>
      </c>
      <c r="G160" s="39">
        <f t="shared" si="17"/>
        <v>1574</v>
      </c>
      <c r="H160" s="39">
        <f t="shared" si="18"/>
        <v>1535</v>
      </c>
      <c r="I160" s="31" t="s">
        <v>215</v>
      </c>
      <c r="J160" s="66" t="str">
        <f>HYPERLINK("https://www.nite.go.jp/nbrc/dbrp/dataview?dataId=ANGE0000500031094","ダウンロード")</f>
        <v>ダウンロード</v>
      </c>
    </row>
    <row r="161" spans="1:10" x14ac:dyDescent="0.55000000000000004">
      <c r="A161" s="68" t="s">
        <v>389</v>
      </c>
      <c r="B161" s="3" t="s">
        <v>177</v>
      </c>
      <c r="C161" s="3">
        <v>1</v>
      </c>
      <c r="D161" s="3" t="s">
        <v>68</v>
      </c>
      <c r="E161" s="3" t="s">
        <v>115</v>
      </c>
      <c r="F161" s="31" t="s">
        <v>83</v>
      </c>
      <c r="G161" s="39">
        <f t="shared" si="17"/>
        <v>1574</v>
      </c>
      <c r="H161" s="39">
        <f t="shared" si="18"/>
        <v>1535</v>
      </c>
      <c r="I161" s="31" t="s">
        <v>215</v>
      </c>
      <c r="J161" s="66" t="str">
        <f>HYPERLINK("https://www.nite.go.jp/nbrc/dbrp/dataview?dataId=ANGE0000500031095","ダウンロード")</f>
        <v>ダウンロード</v>
      </c>
    </row>
    <row r="162" spans="1:10" x14ac:dyDescent="0.55000000000000004">
      <c r="A162" s="68" t="s">
        <v>390</v>
      </c>
      <c r="B162" s="3" t="s">
        <v>178</v>
      </c>
      <c r="C162" s="3">
        <v>1</v>
      </c>
      <c r="D162" s="3" t="s">
        <v>68</v>
      </c>
      <c r="E162" s="3" t="s">
        <v>121</v>
      </c>
      <c r="F162" s="31" t="s">
        <v>83</v>
      </c>
      <c r="G162" s="39">
        <f t="shared" si="17"/>
        <v>1574</v>
      </c>
      <c r="H162" s="39">
        <f t="shared" si="18"/>
        <v>1535</v>
      </c>
      <c r="I162" s="31" t="s">
        <v>215</v>
      </c>
      <c r="J162" s="66" t="str">
        <f>HYPERLINK("https://www.nite.go.jp/nbrc/dbrp/dataview?dataId=ANGE0000500031096","ダウンロード")</f>
        <v>ダウンロード</v>
      </c>
    </row>
    <row r="163" spans="1:10" x14ac:dyDescent="0.55000000000000004">
      <c r="A163" s="64" t="s">
        <v>391</v>
      </c>
      <c r="B163" s="51" t="s">
        <v>392</v>
      </c>
      <c r="C163" s="51" t="s">
        <v>251</v>
      </c>
      <c r="D163" s="52" t="s">
        <v>95</v>
      </c>
      <c r="E163" s="52" t="s">
        <v>121</v>
      </c>
      <c r="F163" s="52" t="s">
        <v>83</v>
      </c>
      <c r="G163" s="53">
        <f t="shared" si="17"/>
        <v>1574</v>
      </c>
      <c r="H163" s="53">
        <f t="shared" si="18"/>
        <v>1535</v>
      </c>
      <c r="I163" s="54" t="s">
        <v>215</v>
      </c>
      <c r="J163" s="65" t="str">
        <f t="shared" ref="J163:J164" si="21">HYPERLINK("mailto:rd@nite.go.jp","コチラにお問い合わせ下さい。")</f>
        <v>コチラにお問い合わせ下さい。</v>
      </c>
    </row>
    <row r="164" spans="1:10" x14ac:dyDescent="0.55000000000000004">
      <c r="A164" s="64" t="s">
        <v>391</v>
      </c>
      <c r="B164" s="51" t="s">
        <v>393</v>
      </c>
      <c r="C164" s="51" t="s">
        <v>251</v>
      </c>
      <c r="D164" s="52" t="s">
        <v>95</v>
      </c>
      <c r="E164" s="52" t="s">
        <v>121</v>
      </c>
      <c r="F164" s="52" t="s">
        <v>83</v>
      </c>
      <c r="G164" s="53">
        <f t="shared" si="17"/>
        <v>1574</v>
      </c>
      <c r="H164" s="53">
        <f t="shared" si="18"/>
        <v>1535</v>
      </c>
      <c r="I164" s="54" t="s">
        <v>215</v>
      </c>
      <c r="J164" s="65" t="str">
        <f t="shared" si="21"/>
        <v>コチラにお問い合わせ下さい。</v>
      </c>
    </row>
    <row r="165" spans="1:10" x14ac:dyDescent="0.55000000000000004">
      <c r="A165" s="68" t="s">
        <v>394</v>
      </c>
      <c r="B165" s="3" t="s">
        <v>179</v>
      </c>
      <c r="C165" s="3">
        <v>1</v>
      </c>
      <c r="D165" s="3" t="s">
        <v>68</v>
      </c>
      <c r="E165" s="3" t="s">
        <v>115</v>
      </c>
      <c r="F165" s="31" t="s">
        <v>83</v>
      </c>
      <c r="G165" s="39">
        <f t="shared" si="17"/>
        <v>1574</v>
      </c>
      <c r="H165" s="39">
        <f t="shared" si="18"/>
        <v>1535</v>
      </c>
      <c r="I165" s="31" t="s">
        <v>215</v>
      </c>
      <c r="J165" s="66" t="str">
        <f>HYPERLINK("https://www.nite.go.jp/nbrc/dbrp/dataview?dataId=ANGE0000500031097","ダウンロード")</f>
        <v>ダウンロード</v>
      </c>
    </row>
    <row r="166" spans="1:10" x14ac:dyDescent="0.55000000000000004">
      <c r="A166" s="68" t="s">
        <v>395</v>
      </c>
      <c r="B166" s="3" t="s">
        <v>180</v>
      </c>
      <c r="C166" s="3">
        <v>1</v>
      </c>
      <c r="D166" s="3" t="s">
        <v>68</v>
      </c>
      <c r="E166" s="3" t="s">
        <v>115</v>
      </c>
      <c r="F166" s="31" t="s">
        <v>83</v>
      </c>
      <c r="G166" s="39">
        <f>HYPERLINK("https://www.nite.go.jp/nbrc/catalogue/NBRCMediumDetailServlet?NO=000253",253)</f>
        <v>253</v>
      </c>
      <c r="H166" s="39">
        <f>HYPERLINK("https://www.nite.go.jp/nbrc/catalogue/NBRCMediumDetailServlet?NO=001572",1572)</f>
        <v>1572</v>
      </c>
      <c r="I166" s="31" t="s">
        <v>215</v>
      </c>
      <c r="J166" s="66" t="str">
        <f>HYPERLINK("https://www.nite.go.jp/nbrc/dbrp/dataview?dataId=ANGE0000500031098","ダウンロード")</f>
        <v>ダウンロード</v>
      </c>
    </row>
    <row r="167" spans="1:10" x14ac:dyDescent="0.55000000000000004">
      <c r="A167" s="64" t="s">
        <v>396</v>
      </c>
      <c r="B167" s="51" t="s">
        <v>397</v>
      </c>
      <c r="C167" s="51" t="s">
        <v>254</v>
      </c>
      <c r="D167" s="52" t="s">
        <v>95</v>
      </c>
      <c r="E167" s="52" t="s">
        <v>104</v>
      </c>
      <c r="F167" s="52" t="s">
        <v>83</v>
      </c>
      <c r="G167" s="53">
        <f>HYPERLINK("https://www.nite.go.jp/nbrc/catalogue/NBRCMediumDetailServlet?NO=001535",1535)</f>
        <v>1535</v>
      </c>
      <c r="H167" s="53"/>
      <c r="I167" s="54" t="s">
        <v>215</v>
      </c>
      <c r="J167" s="65" t="str">
        <f t="shared" ref="J167:J169" si="22">HYPERLINK("mailto:rd@nite.go.jp","コチラにお問い合わせ下さい。")</f>
        <v>コチラにお問い合わせ下さい。</v>
      </c>
    </row>
    <row r="168" spans="1:10" x14ac:dyDescent="0.55000000000000004">
      <c r="A168" s="64" t="s">
        <v>356</v>
      </c>
      <c r="B168" s="51" t="s">
        <v>398</v>
      </c>
      <c r="C168" s="51" t="s">
        <v>251</v>
      </c>
      <c r="D168" s="52" t="s">
        <v>95</v>
      </c>
      <c r="E168" s="52" t="s">
        <v>102</v>
      </c>
      <c r="F168" s="52" t="s">
        <v>83</v>
      </c>
      <c r="G168" s="53">
        <f>HYPERLINK("https://www.nite.go.jp/nbrc/catalogue/NBRCMediumDetailServlet?NO=001574",1574)</f>
        <v>1574</v>
      </c>
      <c r="H168" s="53">
        <f>HYPERLINK("https://www.nite.go.jp/nbrc/catalogue/NBRCMediumDetailServlet?NO=001535",1535)</f>
        <v>1535</v>
      </c>
      <c r="I168" s="54" t="s">
        <v>215</v>
      </c>
      <c r="J168" s="65" t="str">
        <f t="shared" si="22"/>
        <v>コチラにお問い合わせ下さい。</v>
      </c>
    </row>
    <row r="169" spans="1:10" x14ac:dyDescent="0.55000000000000004">
      <c r="A169" s="64" t="s">
        <v>399</v>
      </c>
      <c r="B169" s="51" t="s">
        <v>400</v>
      </c>
      <c r="C169" s="51" t="s">
        <v>254</v>
      </c>
      <c r="D169" s="52" t="s">
        <v>95</v>
      </c>
      <c r="E169" s="52" t="s">
        <v>102</v>
      </c>
      <c r="F169" s="52" t="s">
        <v>83</v>
      </c>
      <c r="G169" s="53">
        <f>HYPERLINK("https://www.nite.go.jp/nbrc/catalogue/NBRCMediumDetailServlet?NO=001574",1574)</f>
        <v>1574</v>
      </c>
      <c r="H169" s="53">
        <f>HYPERLINK("https://www.nite.go.jp/nbrc/catalogue/NBRCMediumDetailServlet?NO=001535",1535)</f>
        <v>1535</v>
      </c>
      <c r="I169" s="54" t="s">
        <v>215</v>
      </c>
      <c r="J169" s="65" t="str">
        <f t="shared" si="22"/>
        <v>コチラにお問い合わせ下さい。</v>
      </c>
    </row>
    <row r="170" spans="1:10" x14ac:dyDescent="0.55000000000000004">
      <c r="A170" s="68" t="s">
        <v>401</v>
      </c>
      <c r="B170" s="3" t="s">
        <v>181</v>
      </c>
      <c r="C170" s="3">
        <v>1</v>
      </c>
      <c r="D170" s="3" t="s">
        <v>68</v>
      </c>
      <c r="E170" s="3" t="s">
        <v>115</v>
      </c>
      <c r="F170" s="31" t="s">
        <v>83</v>
      </c>
      <c r="G170" s="39">
        <f>HYPERLINK("https://www.nite.go.jp/nbrc/catalogue/NBRCMediumDetailServlet?NO=000253",253)</f>
        <v>253</v>
      </c>
      <c r="H170" s="39">
        <f>HYPERLINK("https://www.nite.go.jp/nbrc/catalogue/NBRCMediumDetailServlet?NO=001572",1572)</f>
        <v>1572</v>
      </c>
      <c r="I170" s="31" t="s">
        <v>215</v>
      </c>
      <c r="J170" s="66" t="str">
        <f>HYPERLINK("https://www.nite.go.jp/nbrc/dbrp/dataview?dataId=ANGE0000500031099","ダウンロード")</f>
        <v>ダウンロード</v>
      </c>
    </row>
    <row r="171" spans="1:10" x14ac:dyDescent="0.55000000000000004">
      <c r="A171" s="68" t="s">
        <v>401</v>
      </c>
      <c r="B171" s="3" t="s">
        <v>182</v>
      </c>
      <c r="C171" s="3">
        <v>1</v>
      </c>
      <c r="D171" s="3" t="s">
        <v>68</v>
      </c>
      <c r="E171" s="3" t="s">
        <v>115</v>
      </c>
      <c r="F171" s="31" t="s">
        <v>83</v>
      </c>
      <c r="G171" s="39">
        <f>HYPERLINK("https://www.nite.go.jp/nbrc/catalogue/NBRCMediumDetailServlet?NO=000253",253)</f>
        <v>253</v>
      </c>
      <c r="H171" s="39">
        <f>HYPERLINK("https://www.nite.go.jp/nbrc/catalogue/NBRCMediumDetailServlet?NO=001572",1572)</f>
        <v>1572</v>
      </c>
      <c r="I171" s="31" t="s">
        <v>215</v>
      </c>
      <c r="J171" s="66" t="str">
        <f>HYPERLINK("https://www.nite.go.jp/nbrc/dbrp/dataview?dataId=ANGE0000500031100","ダウンロード")</f>
        <v>ダウンロード</v>
      </c>
    </row>
    <row r="172" spans="1:10" x14ac:dyDescent="0.55000000000000004">
      <c r="A172" s="64" t="s">
        <v>277</v>
      </c>
      <c r="B172" s="51" t="s">
        <v>402</v>
      </c>
      <c r="C172" s="51" t="s">
        <v>251</v>
      </c>
      <c r="D172" s="52" t="s">
        <v>95</v>
      </c>
      <c r="E172" s="52" t="s">
        <v>115</v>
      </c>
      <c r="F172" s="52" t="s">
        <v>83</v>
      </c>
      <c r="G172" s="53">
        <f>HYPERLINK("https://www.nite.go.jp/nbrc/catalogue/NBRCMediumDetailServlet?NO=000253",253)</f>
        <v>253</v>
      </c>
      <c r="H172" s="53">
        <f>HYPERLINK("https://www.nite.go.jp/nbrc/catalogue/NBRCMediumDetailServlet?NO=001572",1572)</f>
        <v>1572</v>
      </c>
      <c r="I172" s="54" t="s">
        <v>215</v>
      </c>
      <c r="J172" s="65" t="str">
        <f t="shared" ref="J172:J173" si="23">HYPERLINK("mailto:rd@nite.go.jp","コチラにお問い合わせ下さい。")</f>
        <v>コチラにお問い合わせ下さい。</v>
      </c>
    </row>
    <row r="173" spans="1:10" x14ac:dyDescent="0.55000000000000004">
      <c r="A173" s="64" t="s">
        <v>403</v>
      </c>
      <c r="B173" s="51" t="s">
        <v>404</v>
      </c>
      <c r="C173" s="51" t="s">
        <v>251</v>
      </c>
      <c r="D173" s="52" t="s">
        <v>95</v>
      </c>
      <c r="E173" s="52" t="s">
        <v>115</v>
      </c>
      <c r="F173" s="52" t="s">
        <v>83</v>
      </c>
      <c r="G173" s="53">
        <f>HYPERLINK("https://www.nite.go.jp/nbrc/catalogue/NBRCMediumDetailServlet?NO=000253",253)</f>
        <v>253</v>
      </c>
      <c r="H173" s="53">
        <f>HYPERLINK("https://www.nite.go.jp/nbrc/catalogue/NBRCMediumDetailServlet?NO=001572",1572)</f>
        <v>1572</v>
      </c>
      <c r="I173" s="54" t="s">
        <v>215</v>
      </c>
      <c r="J173" s="65" t="str">
        <f t="shared" si="23"/>
        <v>コチラにお問い合わせ下さい。</v>
      </c>
    </row>
    <row r="174" spans="1:10" x14ac:dyDescent="0.55000000000000004">
      <c r="A174" s="64" t="s">
        <v>283</v>
      </c>
      <c r="B174" s="51" t="s">
        <v>405</v>
      </c>
      <c r="C174" s="51" t="s">
        <v>254</v>
      </c>
      <c r="D174" s="52" t="s">
        <v>95</v>
      </c>
      <c r="E174" s="52" t="s">
        <v>115</v>
      </c>
      <c r="F174" s="52" t="s">
        <v>83</v>
      </c>
      <c r="G174" s="53">
        <f>HYPERLINK("https://www.nite.go.jp/nbrc/catalogue/NBRCMediumDetailServlet?NO=001574",1574)</f>
        <v>1574</v>
      </c>
      <c r="H174" s="53">
        <f>HYPERLINK("https://www.nite.go.jp/nbrc/catalogue/NBRCMediumDetailServlet?NO=001535",1535)</f>
        <v>1535</v>
      </c>
      <c r="I174" s="54" t="s">
        <v>215</v>
      </c>
      <c r="J174" s="65" t="str">
        <f t="shared" ref="J174:J186" si="24">HYPERLINK("mailto:rd@nite.go.jp","コチラにお問い合わせ下さい。")</f>
        <v>コチラにお問い合わせ下さい。</v>
      </c>
    </row>
    <row r="175" spans="1:10" x14ac:dyDescent="0.55000000000000004">
      <c r="A175" s="64" t="s">
        <v>283</v>
      </c>
      <c r="B175" s="51" t="s">
        <v>406</v>
      </c>
      <c r="C175" s="51" t="s">
        <v>251</v>
      </c>
      <c r="D175" s="52" t="s">
        <v>95</v>
      </c>
      <c r="E175" s="52" t="s">
        <v>121</v>
      </c>
      <c r="F175" s="52" t="s">
        <v>83</v>
      </c>
      <c r="G175" s="53">
        <f>HYPERLINK("https://www.nite.go.jp/nbrc/catalogue/NBRCMediumDetailServlet?NO=001545",1545)</f>
        <v>1545</v>
      </c>
      <c r="H175" s="53">
        <f>HYPERLINK("https://www.nite.go.jp/nbrc/catalogue/NBRCMediumDetailServlet?NO=001509",1509)</f>
        <v>1509</v>
      </c>
      <c r="I175" s="54" t="s">
        <v>215</v>
      </c>
      <c r="J175" s="65" t="str">
        <f t="shared" si="24"/>
        <v>コチラにお問い合わせ下さい。</v>
      </c>
    </row>
    <row r="176" spans="1:10" x14ac:dyDescent="0.55000000000000004">
      <c r="A176" s="64" t="s">
        <v>283</v>
      </c>
      <c r="B176" s="51" t="s">
        <v>407</v>
      </c>
      <c r="C176" s="51" t="s">
        <v>254</v>
      </c>
      <c r="D176" s="52" t="s">
        <v>95</v>
      </c>
      <c r="E176" s="52" t="s">
        <v>121</v>
      </c>
      <c r="F176" s="52" t="s">
        <v>83</v>
      </c>
      <c r="G176" s="53">
        <f>HYPERLINK("https://www.nite.go.jp/nbrc/catalogue/NBRCMediumDetailServlet?NO=001574",1574)</f>
        <v>1574</v>
      </c>
      <c r="H176" s="53">
        <f>HYPERLINK("https://www.nite.go.jp/nbrc/catalogue/NBRCMediumDetailServlet?NO=001535",1535)</f>
        <v>1535</v>
      </c>
      <c r="I176" s="54" t="s">
        <v>215</v>
      </c>
      <c r="J176" s="65" t="str">
        <f t="shared" si="24"/>
        <v>コチラにお問い合わせ下さい。</v>
      </c>
    </row>
    <row r="177" spans="1:10" x14ac:dyDescent="0.55000000000000004">
      <c r="A177" s="64" t="s">
        <v>355</v>
      </c>
      <c r="B177" s="51" t="s">
        <v>408</v>
      </c>
      <c r="C177" s="51" t="s">
        <v>254</v>
      </c>
      <c r="D177" s="52" t="s">
        <v>95</v>
      </c>
      <c r="E177" s="52" t="s">
        <v>115</v>
      </c>
      <c r="F177" s="52" t="s">
        <v>83</v>
      </c>
      <c r="G177" s="53">
        <f>HYPERLINK("https://www.nite.go.jp/nbrc/catalogue/NBRCMediumDetailServlet?NO=001572",1572)</f>
        <v>1572</v>
      </c>
      <c r="H177" s="53">
        <f>HYPERLINK("https://www.nite.go.jp/nbrc/catalogue/NBRCMediumDetailServlet?NO=000253",253)</f>
        <v>253</v>
      </c>
      <c r="I177" s="54" t="s">
        <v>215</v>
      </c>
      <c r="J177" s="65" t="str">
        <f t="shared" si="24"/>
        <v>コチラにお問い合わせ下さい。</v>
      </c>
    </row>
    <row r="178" spans="1:10" x14ac:dyDescent="0.55000000000000004">
      <c r="A178" s="64" t="s">
        <v>307</v>
      </c>
      <c r="B178" s="51" t="s">
        <v>409</v>
      </c>
      <c r="C178" s="51" t="s">
        <v>254</v>
      </c>
      <c r="D178" s="52" t="s">
        <v>95</v>
      </c>
      <c r="E178" s="52" t="s">
        <v>115</v>
      </c>
      <c r="F178" s="52" t="s">
        <v>83</v>
      </c>
      <c r="G178" s="53">
        <f>HYPERLINK("https://www.nite.go.jp/nbrc/catalogue/NBRCMediumDetailServlet?NO=001574",1574)</f>
        <v>1574</v>
      </c>
      <c r="H178" s="53">
        <f>HYPERLINK("https://www.nite.go.jp/nbrc/catalogue/NBRCMediumDetailServlet?NO=001535",1535)</f>
        <v>1535</v>
      </c>
      <c r="I178" s="54" t="s">
        <v>215</v>
      </c>
      <c r="J178" s="65" t="str">
        <f t="shared" si="24"/>
        <v>コチラにお問い合わせ下さい。</v>
      </c>
    </row>
    <row r="179" spans="1:10" x14ac:dyDescent="0.55000000000000004">
      <c r="A179" s="64" t="s">
        <v>330</v>
      </c>
      <c r="B179" s="51" t="s">
        <v>410</v>
      </c>
      <c r="C179" s="51" t="s">
        <v>254</v>
      </c>
      <c r="D179" s="52" t="s">
        <v>95</v>
      </c>
      <c r="E179" s="52" t="s">
        <v>102</v>
      </c>
      <c r="F179" s="52" t="s">
        <v>83</v>
      </c>
      <c r="G179" s="53">
        <f>HYPERLINK("https://www.nite.go.jp/nbrc/catalogue/NBRCMediumDetailServlet?NO=001574",1574)</f>
        <v>1574</v>
      </c>
      <c r="H179" s="53">
        <f>HYPERLINK("https://www.nite.go.jp/nbrc/catalogue/NBRCMediumDetailServlet?NO=001535",1535)</f>
        <v>1535</v>
      </c>
      <c r="I179" s="54" t="s">
        <v>215</v>
      </c>
      <c r="J179" s="65" t="str">
        <f t="shared" si="24"/>
        <v>コチラにお問い合わせ下さい。</v>
      </c>
    </row>
    <row r="180" spans="1:10" x14ac:dyDescent="0.55000000000000004">
      <c r="A180" s="64" t="s">
        <v>307</v>
      </c>
      <c r="B180" s="51" t="s">
        <v>411</v>
      </c>
      <c r="C180" s="51" t="s">
        <v>251</v>
      </c>
      <c r="D180" s="52" t="s">
        <v>95</v>
      </c>
      <c r="E180" s="52" t="s">
        <v>115</v>
      </c>
      <c r="F180" s="52" t="s">
        <v>83</v>
      </c>
      <c r="G180" s="53">
        <f>HYPERLINK("https://www.nite.go.jp/nbrc/catalogue/NBRCMediumDetailServlet?NO=001574",1574)</f>
        <v>1574</v>
      </c>
      <c r="H180" s="53">
        <f>HYPERLINK("https://www.nite.go.jp/nbrc/catalogue/NBRCMediumDetailServlet?NO=001535",1535)</f>
        <v>1535</v>
      </c>
      <c r="I180" s="54" t="s">
        <v>215</v>
      </c>
      <c r="J180" s="65" t="str">
        <f t="shared" si="24"/>
        <v>コチラにお問い合わせ下さい。</v>
      </c>
    </row>
    <row r="181" spans="1:10" x14ac:dyDescent="0.55000000000000004">
      <c r="A181" s="64" t="s">
        <v>307</v>
      </c>
      <c r="B181" s="51" t="s">
        <v>412</v>
      </c>
      <c r="C181" s="51" t="s">
        <v>254</v>
      </c>
      <c r="D181" s="52" t="s">
        <v>95</v>
      </c>
      <c r="E181" s="52" t="s">
        <v>115</v>
      </c>
      <c r="F181" s="52" t="s">
        <v>83</v>
      </c>
      <c r="G181" s="53">
        <f>HYPERLINK("https://www.nite.go.jp/nbrc/catalogue/NBRCMediumDetailServlet?NO=001574",1574)</f>
        <v>1574</v>
      </c>
      <c r="H181" s="53">
        <f>HYPERLINK("https://www.nite.go.jp/nbrc/catalogue/NBRCMediumDetailServlet?NO=001535",1535)</f>
        <v>1535</v>
      </c>
      <c r="I181" s="54" t="s">
        <v>215</v>
      </c>
      <c r="J181" s="65" t="str">
        <f t="shared" si="24"/>
        <v>コチラにお問い合わせ下さい。</v>
      </c>
    </row>
    <row r="182" spans="1:10" x14ac:dyDescent="0.55000000000000004">
      <c r="A182" s="64" t="s">
        <v>413</v>
      </c>
      <c r="B182" s="51" t="s">
        <v>414</v>
      </c>
      <c r="C182" s="51" t="s">
        <v>254</v>
      </c>
      <c r="D182" s="52" t="s">
        <v>95</v>
      </c>
      <c r="E182" s="52" t="s">
        <v>102</v>
      </c>
      <c r="F182" s="52" t="s">
        <v>83</v>
      </c>
      <c r="G182" s="53">
        <f>HYPERLINK("https://www.nite.go.jp/nbrc/catalogue/NBRCMediumDetailServlet?NO=001574",1574)</f>
        <v>1574</v>
      </c>
      <c r="H182" s="53">
        <f>HYPERLINK("https://www.nite.go.jp/nbrc/catalogue/NBRCMediumDetailServlet?NO=001535",1535)</f>
        <v>1535</v>
      </c>
      <c r="I182" s="54" t="s">
        <v>215</v>
      </c>
      <c r="J182" s="65" t="str">
        <f t="shared" si="24"/>
        <v>コチラにお問い合わせ下さい。</v>
      </c>
    </row>
    <row r="183" spans="1:10" x14ac:dyDescent="0.55000000000000004">
      <c r="A183" s="64" t="s">
        <v>399</v>
      </c>
      <c r="B183" s="51" t="s">
        <v>415</v>
      </c>
      <c r="C183" s="51" t="s">
        <v>254</v>
      </c>
      <c r="D183" s="52" t="s">
        <v>95</v>
      </c>
      <c r="E183" s="52" t="s">
        <v>115</v>
      </c>
      <c r="F183" s="52" t="s">
        <v>83</v>
      </c>
      <c r="G183" s="53">
        <f>HYPERLINK("https://www.nite.go.jp/nbrc/catalogue/NBRCMediumDetailServlet?NO=001572",1572)</f>
        <v>1572</v>
      </c>
      <c r="H183" s="53"/>
      <c r="I183" s="54" t="s">
        <v>215</v>
      </c>
      <c r="J183" s="65" t="str">
        <f t="shared" si="24"/>
        <v>コチラにお問い合わせ下さい。</v>
      </c>
    </row>
    <row r="184" spans="1:10" x14ac:dyDescent="0.55000000000000004">
      <c r="A184" s="64" t="s">
        <v>416</v>
      </c>
      <c r="B184" s="51" t="s">
        <v>417</v>
      </c>
      <c r="C184" s="51" t="s">
        <v>251</v>
      </c>
      <c r="D184" s="52" t="s">
        <v>95</v>
      </c>
      <c r="E184" s="52" t="s">
        <v>104</v>
      </c>
      <c r="F184" s="52" t="s">
        <v>83</v>
      </c>
      <c r="G184" s="53">
        <f>HYPERLINK("https://www.nite.go.jp/nbrc/catalogue/NBRCMediumDetailServlet?NO=001574",1574)</f>
        <v>1574</v>
      </c>
      <c r="H184" s="53">
        <f>HYPERLINK("https://www.nite.go.jp/nbrc/catalogue/NBRCMediumDetailServlet?NO=001535",1535)</f>
        <v>1535</v>
      </c>
      <c r="I184" s="54" t="s">
        <v>215</v>
      </c>
      <c r="J184" s="65" t="str">
        <f t="shared" si="24"/>
        <v>コチラにお問い合わせ下さい。</v>
      </c>
    </row>
    <row r="185" spans="1:10" x14ac:dyDescent="0.55000000000000004">
      <c r="A185" s="64" t="s">
        <v>418</v>
      </c>
      <c r="B185" s="51" t="s">
        <v>419</v>
      </c>
      <c r="C185" s="51" t="s">
        <v>254</v>
      </c>
      <c r="D185" s="52" t="s">
        <v>95</v>
      </c>
      <c r="E185" s="52" t="s">
        <v>115</v>
      </c>
      <c r="F185" s="52" t="s">
        <v>83</v>
      </c>
      <c r="G185" s="53">
        <f>HYPERLINK("https://www.nite.go.jp/nbrc/catalogue/NBRCMediumDetailServlet?NO=000253",253)</f>
        <v>253</v>
      </c>
      <c r="H185" s="53">
        <f>HYPERLINK("https://www.nite.go.jp/nbrc/catalogue/NBRCMediumDetailServlet?NO=001572",1572)</f>
        <v>1572</v>
      </c>
      <c r="I185" s="54" t="s">
        <v>215</v>
      </c>
      <c r="J185" s="65" t="str">
        <f t="shared" si="24"/>
        <v>コチラにお問い合わせ下さい。</v>
      </c>
    </row>
    <row r="186" spans="1:10" x14ac:dyDescent="0.55000000000000004">
      <c r="A186" s="64" t="s">
        <v>265</v>
      </c>
      <c r="B186" s="51" t="s">
        <v>420</v>
      </c>
      <c r="C186" s="51" t="s">
        <v>251</v>
      </c>
      <c r="D186" s="52" t="s">
        <v>95</v>
      </c>
      <c r="E186" s="52" t="s">
        <v>121</v>
      </c>
      <c r="F186" s="52" t="s">
        <v>83</v>
      </c>
      <c r="G186" s="53">
        <f>HYPERLINK("https://www.nite.go.jp/nbrc/catalogue/NBRCMediumDetailServlet?NO=001574",1574)</f>
        <v>1574</v>
      </c>
      <c r="H186" s="53">
        <f>HYPERLINK("https://www.nite.go.jp/nbrc/catalogue/NBRCMediumDetailServlet?NO=001535",1535)</f>
        <v>1535</v>
      </c>
      <c r="I186" s="54" t="s">
        <v>215</v>
      </c>
      <c r="J186" s="65" t="str">
        <f t="shared" si="24"/>
        <v>コチラにお問い合わせ下さい。</v>
      </c>
    </row>
    <row r="187" spans="1:10" x14ac:dyDescent="0.55000000000000004">
      <c r="A187" s="68" t="s">
        <v>380</v>
      </c>
      <c r="B187" s="3" t="s">
        <v>214</v>
      </c>
      <c r="C187" s="3">
        <v>1</v>
      </c>
      <c r="D187" s="3" t="s">
        <v>95</v>
      </c>
      <c r="E187" s="3" t="s">
        <v>104</v>
      </c>
      <c r="F187" s="31" t="s">
        <v>83</v>
      </c>
      <c r="G187" s="39">
        <f>HYPERLINK("https://www.nite.go.jp/nbrc/catalogue/NBRCMediumDetailServlet?NO=001574",1574)</f>
        <v>1574</v>
      </c>
      <c r="H187" s="39"/>
      <c r="I187" s="31" t="s">
        <v>215</v>
      </c>
      <c r="J187" s="66" t="str">
        <f>HYPERLINK("https://www.nite.go.jp/nbrc/dbrp/dataview?dataId=ANGE0000500031289","ダウンロード")</f>
        <v>ダウンロード</v>
      </c>
    </row>
    <row r="188" spans="1:10" x14ac:dyDescent="0.55000000000000004">
      <c r="A188" s="68" t="s">
        <v>355</v>
      </c>
      <c r="B188" s="3" t="s">
        <v>216</v>
      </c>
      <c r="C188" s="3">
        <v>1</v>
      </c>
      <c r="D188" s="3" t="s">
        <v>95</v>
      </c>
      <c r="E188" s="3" t="s">
        <v>115</v>
      </c>
      <c r="F188" s="31" t="s">
        <v>83</v>
      </c>
      <c r="G188" s="39">
        <f>HYPERLINK("https://www.nite.go.jp/nbrc/catalogue/NBRCMediumDetailServlet?NO=001574",1574)</f>
        <v>1574</v>
      </c>
      <c r="H188" s="39"/>
      <c r="I188" s="31" t="s">
        <v>215</v>
      </c>
      <c r="J188" s="66" t="str">
        <f>HYPERLINK("https://www.nite.go.jp/nbrc/dbrp/dataview?dataId=ANGE0000500031290","ダウンロード")</f>
        <v>ダウンロード</v>
      </c>
    </row>
    <row r="189" spans="1:10" x14ac:dyDescent="0.55000000000000004">
      <c r="A189" s="68" t="s">
        <v>421</v>
      </c>
      <c r="B189" s="3" t="s">
        <v>217</v>
      </c>
      <c r="C189" s="3">
        <v>1</v>
      </c>
      <c r="D189" s="3" t="s">
        <v>95</v>
      </c>
      <c r="E189" s="3" t="s">
        <v>121</v>
      </c>
      <c r="F189" s="31" t="s">
        <v>83</v>
      </c>
      <c r="G189" s="39">
        <f>HYPERLINK("https://www.nite.go.jp/nbrc/catalogue/NBRCMediumDetailServlet?NO=001535",1535)</f>
        <v>1535</v>
      </c>
      <c r="H189" s="39"/>
      <c r="I189" s="31" t="s">
        <v>215</v>
      </c>
      <c r="J189" s="66" t="str">
        <f>HYPERLINK("https://www.nite.go.jp/nbrc/dbrp/dataview?dataId=ANGE0000500031291","ダウンロード")</f>
        <v>ダウンロード</v>
      </c>
    </row>
    <row r="190" spans="1:10" x14ac:dyDescent="0.55000000000000004">
      <c r="A190" s="68" t="s">
        <v>422</v>
      </c>
      <c r="B190" s="3" t="s">
        <v>218</v>
      </c>
      <c r="C190" s="3">
        <v>1</v>
      </c>
      <c r="D190" s="3" t="s">
        <v>95</v>
      </c>
      <c r="E190" s="3" t="s">
        <v>121</v>
      </c>
      <c r="F190" s="31" t="s">
        <v>83</v>
      </c>
      <c r="G190" s="39">
        <f>HYPERLINK("https://www.nite.go.jp/nbrc/catalogue/NBRCMediumDetailServlet?NO=000802",802)</f>
        <v>802</v>
      </c>
      <c r="H190" s="39"/>
      <c r="I190" s="13" t="s">
        <v>339</v>
      </c>
      <c r="J190" s="66" t="str">
        <f>HYPERLINK("https://www.nite.go.jp/nbrc/dbrp/dataview?dataId=ANGE0000500031292","ダウンロード")</f>
        <v>ダウンロード</v>
      </c>
    </row>
    <row r="191" spans="1:10" x14ac:dyDescent="0.55000000000000004">
      <c r="A191" s="68" t="s">
        <v>283</v>
      </c>
      <c r="B191" s="3" t="s">
        <v>219</v>
      </c>
      <c r="C191" s="3">
        <v>1</v>
      </c>
      <c r="D191" s="3" t="s">
        <v>95</v>
      </c>
      <c r="E191" s="3" t="s">
        <v>115</v>
      </c>
      <c r="F191" s="31" t="s">
        <v>83</v>
      </c>
      <c r="G191" s="39">
        <f>HYPERLINK("https://www.nite.go.jp/nbrc/catalogue/NBRCMediumDetailServlet?NO=001574",1574)</f>
        <v>1574</v>
      </c>
      <c r="H191" s="39"/>
      <c r="I191" s="31" t="s">
        <v>215</v>
      </c>
      <c r="J191" s="66" t="str">
        <f>HYPERLINK("https://www.nite.go.jp/nbrc/dbrp/dataview?dataId=ANGE0000500031293","ダウンロード")</f>
        <v>ダウンロード</v>
      </c>
    </row>
    <row r="192" spans="1:10" x14ac:dyDescent="0.55000000000000004">
      <c r="A192" s="64" t="s">
        <v>283</v>
      </c>
      <c r="B192" s="51" t="s">
        <v>423</v>
      </c>
      <c r="C192" s="51" t="s">
        <v>254</v>
      </c>
      <c r="D192" s="52" t="s">
        <v>95</v>
      </c>
      <c r="E192" s="52" t="s">
        <v>121</v>
      </c>
      <c r="F192" s="52" t="s">
        <v>83</v>
      </c>
      <c r="G192" s="53">
        <f>HYPERLINK("https://www.nite.go.jp/nbrc/catalogue/NBRCMediumDetailServlet?NO=001574",1574)</f>
        <v>1574</v>
      </c>
      <c r="H192" s="53"/>
      <c r="I192" s="54" t="s">
        <v>215</v>
      </c>
      <c r="J192" s="65" t="str">
        <f>HYPERLINK("mailto:rd@nite.go.jp","コチラにお問い合わせ下さい。")</f>
        <v>コチラにお問い合わせ下さい。</v>
      </c>
    </row>
    <row r="193" spans="1:10" x14ac:dyDescent="0.55000000000000004">
      <c r="A193" s="68" t="s">
        <v>283</v>
      </c>
      <c r="B193" s="3" t="s">
        <v>220</v>
      </c>
      <c r="C193" s="3">
        <v>1</v>
      </c>
      <c r="D193" s="3" t="s">
        <v>95</v>
      </c>
      <c r="E193" s="3" t="s">
        <v>102</v>
      </c>
      <c r="F193" s="31" t="s">
        <v>83</v>
      </c>
      <c r="G193" s="39">
        <f>HYPERLINK("https://www.nite.go.jp/nbrc/catalogue/NBRCMediumDetailServlet?NO=001574",1574)</f>
        <v>1574</v>
      </c>
      <c r="H193" s="39"/>
      <c r="I193" s="31" t="s">
        <v>215</v>
      </c>
      <c r="J193" s="66" t="str">
        <f>HYPERLINK("https://www.nite.go.jp/nbrc/dbrp/dataview?dataId=ANGE0000500031294","ダウンロード")</f>
        <v>ダウンロード</v>
      </c>
    </row>
    <row r="194" spans="1:10" x14ac:dyDescent="0.55000000000000004">
      <c r="A194" s="64" t="s">
        <v>283</v>
      </c>
      <c r="B194" s="51" t="s">
        <v>424</v>
      </c>
      <c r="C194" s="51" t="s">
        <v>254</v>
      </c>
      <c r="D194" s="52" t="s">
        <v>95</v>
      </c>
      <c r="E194" s="52" t="s">
        <v>102</v>
      </c>
      <c r="F194" s="52" t="s">
        <v>83</v>
      </c>
      <c r="G194" s="53">
        <f>HYPERLINK("https://www.nite.go.jp/nbrc/catalogue/NBRCMediumDetailServlet?NO=001574",1574)</f>
        <v>1574</v>
      </c>
      <c r="H194" s="53"/>
      <c r="I194" s="54" t="s">
        <v>215</v>
      </c>
      <c r="J194" s="65" t="str">
        <f t="shared" ref="J194:J195" si="25">HYPERLINK("mailto:rd@nite.go.jp","コチラにお問い合わせ下さい。")</f>
        <v>コチラにお問い合わせ下さい。</v>
      </c>
    </row>
    <row r="195" spans="1:10" x14ac:dyDescent="0.55000000000000004">
      <c r="A195" s="64" t="s">
        <v>283</v>
      </c>
      <c r="B195" s="51" t="s">
        <v>425</v>
      </c>
      <c r="C195" s="51" t="s">
        <v>254</v>
      </c>
      <c r="D195" s="52" t="s">
        <v>95</v>
      </c>
      <c r="E195" s="52" t="s">
        <v>104</v>
      </c>
      <c r="F195" s="52" t="s">
        <v>83</v>
      </c>
      <c r="G195" s="53">
        <f>HYPERLINK("https://www.nite.go.jp/nbrc/catalogue/NBRCMediumDetailServlet?NO=000253",253)</f>
        <v>253</v>
      </c>
      <c r="H195" s="53"/>
      <c r="I195" s="54" t="s">
        <v>215</v>
      </c>
      <c r="J195" s="65" t="str">
        <f t="shared" si="25"/>
        <v>コチラにお問い合わせ下さい。</v>
      </c>
    </row>
    <row r="196" spans="1:10" x14ac:dyDescent="0.55000000000000004">
      <c r="A196" s="68" t="s">
        <v>245</v>
      </c>
      <c r="B196" s="3" t="s">
        <v>221</v>
      </c>
      <c r="C196" s="3">
        <v>1</v>
      </c>
      <c r="D196" s="3" t="s">
        <v>222</v>
      </c>
      <c r="E196" s="3" t="s">
        <v>115</v>
      </c>
      <c r="F196" s="31" t="s">
        <v>83</v>
      </c>
      <c r="G196" s="39">
        <f>HYPERLINK("https://www.nite.go.jp/nbrc/catalogue/NBRCMediumDetailServlet?NO=001574",1574)</f>
        <v>1574</v>
      </c>
      <c r="H196" s="39"/>
      <c r="I196" s="31" t="s">
        <v>215</v>
      </c>
      <c r="J196" s="66" t="str">
        <f>HYPERLINK("https://www.nite.go.jp/nbrc/dbrp/dataview?dataId=ANGE0000500031295","ダウンロード")</f>
        <v>ダウンロード</v>
      </c>
    </row>
    <row r="197" spans="1:10" x14ac:dyDescent="0.55000000000000004">
      <c r="A197" s="68" t="s">
        <v>321</v>
      </c>
      <c r="B197" s="3" t="s">
        <v>223</v>
      </c>
      <c r="C197" s="3">
        <v>1</v>
      </c>
      <c r="D197" s="3" t="s">
        <v>95</v>
      </c>
      <c r="E197" s="3" t="s">
        <v>121</v>
      </c>
      <c r="F197" s="31" t="s">
        <v>83</v>
      </c>
      <c r="G197" s="39">
        <f>HYPERLINK("https://www.nite.go.jp/nbrc/catalogue/NBRCMediumDetailServlet?NO=001535",1535)</f>
        <v>1535</v>
      </c>
      <c r="H197" s="39"/>
      <c r="I197" s="31" t="s">
        <v>215</v>
      </c>
      <c r="J197" s="66" t="str">
        <f>HYPERLINK("https://www.nite.go.jp/nbrc/dbrp/dataview?dataId=ANGE0000500031296","ダウンロード")</f>
        <v>ダウンロード</v>
      </c>
    </row>
    <row r="198" spans="1:10" x14ac:dyDescent="0.55000000000000004">
      <c r="A198" s="64" t="s">
        <v>416</v>
      </c>
      <c r="B198" s="51" t="s">
        <v>426</v>
      </c>
      <c r="C198" s="51" t="s">
        <v>251</v>
      </c>
      <c r="D198" s="52" t="s">
        <v>95</v>
      </c>
      <c r="E198" s="52" t="s">
        <v>104</v>
      </c>
      <c r="F198" s="52" t="s">
        <v>83</v>
      </c>
      <c r="G198" s="53">
        <f t="shared" ref="G198:G209" si="26">HYPERLINK("https://www.nite.go.jp/nbrc/catalogue/NBRCMediumDetailServlet?NO=001574",1574)</f>
        <v>1574</v>
      </c>
      <c r="H198" s="53"/>
      <c r="I198" s="54" t="s">
        <v>215</v>
      </c>
      <c r="J198" s="65" t="str">
        <f>HYPERLINK("mailto:rd@nite.go.jp","コチラにお問い合わせ下さい。")</f>
        <v>コチラにお問い合わせ下さい。</v>
      </c>
    </row>
    <row r="199" spans="1:10" x14ac:dyDescent="0.55000000000000004">
      <c r="A199" s="68" t="s">
        <v>427</v>
      </c>
      <c r="B199" s="3" t="s">
        <v>224</v>
      </c>
      <c r="C199" s="3">
        <v>1</v>
      </c>
      <c r="D199" s="3" t="s">
        <v>95</v>
      </c>
      <c r="E199" s="3" t="s">
        <v>121</v>
      </c>
      <c r="F199" s="31" t="s">
        <v>83</v>
      </c>
      <c r="G199" s="39">
        <f t="shared" si="26"/>
        <v>1574</v>
      </c>
      <c r="H199" s="39"/>
      <c r="I199" s="31" t="s">
        <v>215</v>
      </c>
      <c r="J199" s="66" t="str">
        <f>HYPERLINK("https://www.nite.go.jp/nbrc/dbrp/dataview?dataId=ANGE0000500031298","ダウンロード")</f>
        <v>ダウンロード</v>
      </c>
    </row>
    <row r="200" spans="1:10" x14ac:dyDescent="0.55000000000000004">
      <c r="A200" s="68" t="s">
        <v>427</v>
      </c>
      <c r="B200" s="3" t="s">
        <v>225</v>
      </c>
      <c r="C200" s="3">
        <v>1</v>
      </c>
      <c r="D200" s="3" t="s">
        <v>95</v>
      </c>
      <c r="E200" s="3" t="s">
        <v>102</v>
      </c>
      <c r="F200" s="31" t="s">
        <v>83</v>
      </c>
      <c r="G200" s="39">
        <f t="shared" si="26"/>
        <v>1574</v>
      </c>
      <c r="H200" s="39"/>
      <c r="I200" s="31" t="s">
        <v>215</v>
      </c>
      <c r="J200" s="66" t="str">
        <f>HYPERLINK("https://www.nite.go.jp/nbrc/dbrp/dataview?dataId=ANGE0000500031299","ダウンロード")</f>
        <v>ダウンロード</v>
      </c>
    </row>
    <row r="201" spans="1:10" x14ac:dyDescent="0.55000000000000004">
      <c r="A201" s="64" t="s">
        <v>307</v>
      </c>
      <c r="B201" s="51" t="s">
        <v>428</v>
      </c>
      <c r="C201" s="51" t="s">
        <v>254</v>
      </c>
      <c r="D201" s="52" t="s">
        <v>95</v>
      </c>
      <c r="E201" s="52" t="s">
        <v>102</v>
      </c>
      <c r="F201" s="52" t="s">
        <v>83</v>
      </c>
      <c r="G201" s="53">
        <f t="shared" si="26"/>
        <v>1574</v>
      </c>
      <c r="H201" s="53"/>
      <c r="I201" s="54" t="s">
        <v>215</v>
      </c>
      <c r="J201" s="65" t="str">
        <f t="shared" ref="J201:J202" si="27">HYPERLINK("mailto:rd@nite.go.jp","コチラにお問い合わせ下さい。")</f>
        <v>コチラにお問い合わせ下さい。</v>
      </c>
    </row>
    <row r="202" spans="1:10" x14ac:dyDescent="0.55000000000000004">
      <c r="A202" s="64" t="s">
        <v>427</v>
      </c>
      <c r="B202" s="51" t="s">
        <v>429</v>
      </c>
      <c r="C202" s="51" t="s">
        <v>312</v>
      </c>
      <c r="D202" s="52" t="s">
        <v>95</v>
      </c>
      <c r="E202" s="52" t="s">
        <v>115</v>
      </c>
      <c r="F202" s="52" t="s">
        <v>83</v>
      </c>
      <c r="G202" s="53">
        <f t="shared" si="26"/>
        <v>1574</v>
      </c>
      <c r="H202" s="53"/>
      <c r="I202" s="54" t="s">
        <v>215</v>
      </c>
      <c r="J202" s="65" t="str">
        <f t="shared" si="27"/>
        <v>コチラにお問い合わせ下さい。</v>
      </c>
    </row>
    <row r="203" spans="1:10" x14ac:dyDescent="0.55000000000000004">
      <c r="A203" s="68" t="s">
        <v>427</v>
      </c>
      <c r="B203" s="3" t="s">
        <v>226</v>
      </c>
      <c r="C203" s="3">
        <v>1</v>
      </c>
      <c r="D203" s="3" t="s">
        <v>95</v>
      </c>
      <c r="E203" s="3" t="s">
        <v>104</v>
      </c>
      <c r="F203" s="31" t="s">
        <v>83</v>
      </c>
      <c r="G203" s="39">
        <f t="shared" si="26"/>
        <v>1574</v>
      </c>
      <c r="H203" s="39"/>
      <c r="I203" s="31" t="s">
        <v>215</v>
      </c>
      <c r="J203" s="66" t="str">
        <f>HYPERLINK("https://www.nite.go.jp/nbrc/dbrp/dataview?dataId=ANGE0000500031300","ダウンロード")</f>
        <v>ダウンロード</v>
      </c>
    </row>
    <row r="204" spans="1:10" x14ac:dyDescent="0.55000000000000004">
      <c r="A204" s="64" t="s">
        <v>307</v>
      </c>
      <c r="B204" s="51" t="s">
        <v>430</v>
      </c>
      <c r="C204" s="51" t="s">
        <v>254</v>
      </c>
      <c r="D204" s="52" t="s">
        <v>95</v>
      </c>
      <c r="E204" s="52" t="s">
        <v>104</v>
      </c>
      <c r="F204" s="52" t="s">
        <v>83</v>
      </c>
      <c r="G204" s="53">
        <f t="shared" si="26"/>
        <v>1574</v>
      </c>
      <c r="H204" s="53"/>
      <c r="I204" s="54" t="s">
        <v>215</v>
      </c>
      <c r="J204" s="65" t="str">
        <f t="shared" ref="J204:J205" si="28">HYPERLINK("mailto:rd@nite.go.jp","コチラにお問い合わせ下さい。")</f>
        <v>コチラにお問い合わせ下さい。</v>
      </c>
    </row>
    <row r="205" spans="1:10" x14ac:dyDescent="0.55000000000000004">
      <c r="A205" s="64" t="s">
        <v>260</v>
      </c>
      <c r="B205" s="51" t="s">
        <v>431</v>
      </c>
      <c r="C205" s="51" t="s">
        <v>254</v>
      </c>
      <c r="D205" s="52" t="s">
        <v>95</v>
      </c>
      <c r="E205" s="52" t="s">
        <v>104</v>
      </c>
      <c r="F205" s="52" t="s">
        <v>83</v>
      </c>
      <c r="G205" s="53">
        <f t="shared" si="26"/>
        <v>1574</v>
      </c>
      <c r="H205" s="53"/>
      <c r="I205" s="54" t="s">
        <v>215</v>
      </c>
      <c r="J205" s="65" t="str">
        <f t="shared" si="28"/>
        <v>コチラにお問い合わせ下さい。</v>
      </c>
    </row>
    <row r="206" spans="1:10" x14ac:dyDescent="0.55000000000000004">
      <c r="A206" s="68" t="s">
        <v>432</v>
      </c>
      <c r="B206" s="3" t="s">
        <v>227</v>
      </c>
      <c r="C206" s="3">
        <v>1</v>
      </c>
      <c r="D206" s="3" t="s">
        <v>95</v>
      </c>
      <c r="E206" s="3" t="s">
        <v>102</v>
      </c>
      <c r="F206" s="31" t="s">
        <v>83</v>
      </c>
      <c r="G206" s="39">
        <f t="shared" si="26"/>
        <v>1574</v>
      </c>
      <c r="H206" s="39"/>
      <c r="I206" s="31" t="s">
        <v>215</v>
      </c>
      <c r="J206" s="66" t="str">
        <f>HYPERLINK("https://www.nite.go.jp/nbrc/dbrp/dataview?dataId=ANGE0000500031301","ダウンロード")</f>
        <v>ダウンロード</v>
      </c>
    </row>
    <row r="207" spans="1:10" x14ac:dyDescent="0.55000000000000004">
      <c r="A207" s="64" t="s">
        <v>265</v>
      </c>
      <c r="B207" s="51" t="s">
        <v>433</v>
      </c>
      <c r="C207" s="51" t="s">
        <v>254</v>
      </c>
      <c r="D207" s="52" t="s">
        <v>95</v>
      </c>
      <c r="E207" s="52" t="s">
        <v>115</v>
      </c>
      <c r="F207" s="52" t="s">
        <v>83</v>
      </c>
      <c r="G207" s="53">
        <f t="shared" si="26"/>
        <v>1574</v>
      </c>
      <c r="H207" s="53"/>
      <c r="I207" s="54" t="s">
        <v>215</v>
      </c>
      <c r="J207" s="65" t="str">
        <f t="shared" ref="J207:J208" si="29">HYPERLINK("mailto:rd@nite.go.jp","コチラにお問い合わせ下さい。")</f>
        <v>コチラにお問い合わせ下さい。</v>
      </c>
    </row>
    <row r="208" spans="1:10" x14ac:dyDescent="0.55000000000000004">
      <c r="A208" s="64" t="s">
        <v>434</v>
      </c>
      <c r="B208" s="51" t="s">
        <v>435</v>
      </c>
      <c r="C208" s="51" t="s">
        <v>251</v>
      </c>
      <c r="D208" s="52" t="s">
        <v>95</v>
      </c>
      <c r="E208" s="52" t="s">
        <v>104</v>
      </c>
      <c r="F208" s="52" t="s">
        <v>83</v>
      </c>
      <c r="G208" s="53">
        <f t="shared" si="26"/>
        <v>1574</v>
      </c>
      <c r="H208" s="53"/>
      <c r="I208" s="54" t="s">
        <v>215</v>
      </c>
      <c r="J208" s="65" t="str">
        <f t="shared" si="29"/>
        <v>コチラにお問い合わせ下さい。</v>
      </c>
    </row>
    <row r="209" spans="1:10" x14ac:dyDescent="0.55000000000000004">
      <c r="A209" s="68" t="s">
        <v>334</v>
      </c>
      <c r="B209" s="3" t="s">
        <v>228</v>
      </c>
      <c r="C209" s="3">
        <v>1</v>
      </c>
      <c r="D209" s="3" t="s">
        <v>95</v>
      </c>
      <c r="E209" s="3" t="s">
        <v>121</v>
      </c>
      <c r="F209" s="31" t="s">
        <v>83</v>
      </c>
      <c r="G209" s="39">
        <f t="shared" si="26"/>
        <v>1574</v>
      </c>
      <c r="H209" s="39"/>
      <c r="I209" s="31" t="s">
        <v>215</v>
      </c>
      <c r="J209" s="66" t="str">
        <f>HYPERLINK("https://www.nite.go.jp/nbrc/dbrp/dataview?dataId=ANGE0000500031302","ダウンロード")</f>
        <v>ダウンロード</v>
      </c>
    </row>
    <row r="210" spans="1:10" x14ac:dyDescent="0.55000000000000004">
      <c r="A210" s="68" t="s">
        <v>325</v>
      </c>
      <c r="B210" s="3" t="s">
        <v>230</v>
      </c>
      <c r="C210" s="3">
        <v>1</v>
      </c>
      <c r="D210" s="3" t="s">
        <v>95</v>
      </c>
      <c r="E210" s="3" t="s">
        <v>121</v>
      </c>
      <c r="F210" s="31" t="s">
        <v>83</v>
      </c>
      <c r="G210" s="39">
        <f>HYPERLINK("https://www.nite.go.jp/nbrc/catalogue/NBRCMediumDetailServlet?NO=001535",1535)</f>
        <v>1535</v>
      </c>
      <c r="H210" s="39"/>
      <c r="I210" s="31" t="s">
        <v>215</v>
      </c>
      <c r="J210" s="66" t="str">
        <f>HYPERLINK("https://www.nite.go.jp/nbrc/dbrp/dataview?dataId=ANGE0000500031303","ダウンロード")</f>
        <v>ダウンロード</v>
      </c>
    </row>
    <row r="211" spans="1:10" x14ac:dyDescent="0.55000000000000004">
      <c r="A211" s="68" t="s">
        <v>357</v>
      </c>
      <c r="B211" s="3" t="s">
        <v>231</v>
      </c>
      <c r="C211" s="3">
        <v>1</v>
      </c>
      <c r="D211" s="3" t="s">
        <v>95</v>
      </c>
      <c r="E211" s="3" t="s">
        <v>121</v>
      </c>
      <c r="F211" s="31" t="s">
        <v>83</v>
      </c>
      <c r="G211" s="39">
        <f>HYPERLINK("https://www.nite.go.jp/nbrc/catalogue/NBRCMediumDetailServlet?NO=001535",1535)</f>
        <v>1535</v>
      </c>
      <c r="H211" s="39"/>
      <c r="I211" s="31" t="s">
        <v>215</v>
      </c>
      <c r="J211" s="66" t="str">
        <f>HYPERLINK("https://www.nite.go.jp/nbrc/dbrp/dataview?dataId=ANGE0000500031304","ダウンロード")</f>
        <v>ダウンロード</v>
      </c>
    </row>
    <row r="212" spans="1:10" x14ac:dyDescent="0.55000000000000004">
      <c r="A212" s="68" t="s">
        <v>357</v>
      </c>
      <c r="B212" s="3" t="s">
        <v>232</v>
      </c>
      <c r="C212" s="3">
        <v>1</v>
      </c>
      <c r="D212" s="3" t="s">
        <v>95</v>
      </c>
      <c r="E212" s="3" t="s">
        <v>102</v>
      </c>
      <c r="F212" s="31" t="s">
        <v>83</v>
      </c>
      <c r="G212" s="39">
        <f>HYPERLINK("https://www.nite.go.jp/nbrc/catalogue/NBRCMediumDetailServlet?NO=001535",1535)</f>
        <v>1535</v>
      </c>
      <c r="H212" s="39"/>
      <c r="I212" s="31" t="s">
        <v>215</v>
      </c>
      <c r="J212" s="66" t="str">
        <f>HYPERLINK("https://www.nite.go.jp/nbrc/dbrp/dataview?dataId=ANGE0000500031305","ダウンロード")</f>
        <v>ダウンロード</v>
      </c>
    </row>
    <row r="213" spans="1:10" x14ac:dyDescent="0.55000000000000004">
      <c r="A213" s="64" t="s">
        <v>436</v>
      </c>
      <c r="B213" s="51" t="s">
        <v>437</v>
      </c>
      <c r="C213" s="51" t="s">
        <v>254</v>
      </c>
      <c r="D213" s="52" t="s">
        <v>222</v>
      </c>
      <c r="E213" s="52" t="s">
        <v>115</v>
      </c>
      <c r="F213" s="52" t="s">
        <v>83</v>
      </c>
      <c r="G213" s="53">
        <f t="shared" ref="G213:G219" si="30">HYPERLINK("https://www.nite.go.jp/nbrc/catalogue/NBRCMediumDetailServlet?NO=001574",1574)</f>
        <v>1574</v>
      </c>
      <c r="H213" s="53"/>
      <c r="I213" s="54" t="s">
        <v>215</v>
      </c>
      <c r="J213" s="65" t="str">
        <f t="shared" ref="J213:J214" si="31">HYPERLINK("mailto:rd@nite.go.jp","コチラにお問い合わせ下さい。")</f>
        <v>コチラにお問い合わせ下さい。</v>
      </c>
    </row>
    <row r="214" spans="1:10" x14ac:dyDescent="0.55000000000000004">
      <c r="A214" s="64" t="s">
        <v>295</v>
      </c>
      <c r="B214" s="51" t="s">
        <v>438</v>
      </c>
      <c r="C214" s="51" t="s">
        <v>254</v>
      </c>
      <c r="D214" s="52" t="s">
        <v>95</v>
      </c>
      <c r="E214" s="52" t="s">
        <v>121</v>
      </c>
      <c r="F214" s="52" t="s">
        <v>83</v>
      </c>
      <c r="G214" s="53">
        <f t="shared" si="30"/>
        <v>1574</v>
      </c>
      <c r="H214" s="53"/>
      <c r="I214" s="54" t="s">
        <v>215</v>
      </c>
      <c r="J214" s="65" t="str">
        <f t="shared" si="31"/>
        <v>コチラにお問い合わせ下さい。</v>
      </c>
    </row>
    <row r="215" spans="1:10" x14ac:dyDescent="0.55000000000000004">
      <c r="A215" s="68" t="s">
        <v>295</v>
      </c>
      <c r="B215" s="3" t="s">
        <v>233</v>
      </c>
      <c r="C215" s="3">
        <v>1</v>
      </c>
      <c r="D215" s="3" t="s">
        <v>95</v>
      </c>
      <c r="E215" s="3" t="s">
        <v>115</v>
      </c>
      <c r="F215" s="31" t="s">
        <v>83</v>
      </c>
      <c r="G215" s="39">
        <f t="shared" si="30"/>
        <v>1574</v>
      </c>
      <c r="H215" s="39"/>
      <c r="I215" s="31" t="s">
        <v>215</v>
      </c>
      <c r="J215" s="66" t="str">
        <f>HYPERLINK("https://www.nite.go.jp/nbrc/dbrp/dataview?dataId=ANGE0000500031306","ダウンロード")</f>
        <v>ダウンロード</v>
      </c>
    </row>
    <row r="216" spans="1:10" x14ac:dyDescent="0.55000000000000004">
      <c r="A216" s="68" t="s">
        <v>295</v>
      </c>
      <c r="B216" s="3" t="s">
        <v>234</v>
      </c>
      <c r="C216" s="3">
        <v>1</v>
      </c>
      <c r="D216" s="3" t="s">
        <v>95</v>
      </c>
      <c r="E216" s="3" t="s">
        <v>115</v>
      </c>
      <c r="F216" s="31" t="s">
        <v>83</v>
      </c>
      <c r="G216" s="39">
        <f t="shared" si="30"/>
        <v>1574</v>
      </c>
      <c r="H216" s="39"/>
      <c r="I216" s="31" t="s">
        <v>215</v>
      </c>
      <c r="J216" s="66" t="str">
        <f>HYPERLINK("https://www.nite.go.jp/nbrc/dbrp/dataview?dataId=ANGE0000500031307","ダウンロード")</f>
        <v>ダウンロード</v>
      </c>
    </row>
    <row r="217" spans="1:10" x14ac:dyDescent="0.55000000000000004">
      <c r="A217" s="64" t="s">
        <v>439</v>
      </c>
      <c r="B217" s="51" t="s">
        <v>440</v>
      </c>
      <c r="C217" s="51" t="s">
        <v>251</v>
      </c>
      <c r="D217" s="52" t="s">
        <v>95</v>
      </c>
      <c r="E217" s="52" t="s">
        <v>104</v>
      </c>
      <c r="F217" s="52" t="s">
        <v>83</v>
      </c>
      <c r="G217" s="53">
        <f t="shared" si="30"/>
        <v>1574</v>
      </c>
      <c r="H217" s="53"/>
      <c r="I217" s="54" t="s">
        <v>215</v>
      </c>
      <c r="J217" s="65" t="str">
        <f>HYPERLINK("mailto:rd@nite.go.jp","コチラにお問い合わせ下さい。")</f>
        <v>コチラにお問い合わせ下さい。</v>
      </c>
    </row>
    <row r="218" spans="1:10" x14ac:dyDescent="0.55000000000000004">
      <c r="A218" s="68" t="s">
        <v>441</v>
      </c>
      <c r="B218" s="3" t="s">
        <v>235</v>
      </c>
      <c r="C218" s="3">
        <v>1</v>
      </c>
      <c r="D218" s="3" t="s">
        <v>95</v>
      </c>
      <c r="E218" s="3" t="s">
        <v>121</v>
      </c>
      <c r="F218" s="31" t="s">
        <v>83</v>
      </c>
      <c r="G218" s="39">
        <f t="shared" si="30"/>
        <v>1574</v>
      </c>
      <c r="H218" s="39"/>
      <c r="I218" s="31" t="s">
        <v>215</v>
      </c>
      <c r="J218" s="66" t="str">
        <f>HYPERLINK("https://www.nite.go.jp/nbrc/dbrp/dataview?dataId=ANGE0000500031308","ダウンロード")</f>
        <v>ダウンロード</v>
      </c>
    </row>
    <row r="219" spans="1:10" x14ac:dyDescent="0.55000000000000004">
      <c r="A219" s="68" t="s">
        <v>442</v>
      </c>
      <c r="B219" s="3" t="s">
        <v>236</v>
      </c>
      <c r="C219" s="3">
        <v>1</v>
      </c>
      <c r="D219" s="3" t="s">
        <v>95</v>
      </c>
      <c r="E219" s="3" t="s">
        <v>121</v>
      </c>
      <c r="F219" s="31" t="s">
        <v>83</v>
      </c>
      <c r="G219" s="39">
        <f t="shared" si="30"/>
        <v>1574</v>
      </c>
      <c r="H219" s="39"/>
      <c r="I219" s="31" t="s">
        <v>215</v>
      </c>
      <c r="J219" s="66" t="str">
        <f>HYPERLINK("https://www.nite.go.jp/nbrc/dbrp/dataview?dataId=ANGE0000500031309","ダウンロード")</f>
        <v>ダウンロード</v>
      </c>
    </row>
    <row r="220" spans="1:10" x14ac:dyDescent="0.55000000000000004">
      <c r="A220" s="68" t="s">
        <v>443</v>
      </c>
      <c r="B220" s="3" t="s">
        <v>237</v>
      </c>
      <c r="C220" s="3">
        <v>1</v>
      </c>
      <c r="D220" s="3" t="s">
        <v>95</v>
      </c>
      <c r="E220" s="3" t="s">
        <v>121</v>
      </c>
      <c r="F220" s="31" t="s">
        <v>83</v>
      </c>
      <c r="G220" s="39">
        <f>HYPERLINK("https://www.nite.go.jp/nbrc/catalogue/NBRCMediumDetailServlet?NO=001534",1534)</f>
        <v>1534</v>
      </c>
      <c r="H220" s="39"/>
      <c r="I220" s="31" t="s">
        <v>215</v>
      </c>
      <c r="J220" s="66" t="str">
        <f>HYPERLINK("https://www.nite.go.jp/nbrc/dbrp/dataview?dataId=ANGE0000500031310","ダウンロード")</f>
        <v>ダウンロード</v>
      </c>
    </row>
    <row r="221" spans="1:10" x14ac:dyDescent="0.55000000000000004">
      <c r="A221" s="64" t="s">
        <v>321</v>
      </c>
      <c r="B221" s="51" t="s">
        <v>444</v>
      </c>
      <c r="C221" s="51" t="s">
        <v>251</v>
      </c>
      <c r="D221" s="52" t="s">
        <v>95</v>
      </c>
      <c r="E221" s="52" t="s">
        <v>121</v>
      </c>
      <c r="F221" s="52" t="s">
        <v>83</v>
      </c>
      <c r="G221" s="53">
        <f>HYPERLINK("https://www.nite.go.jp/nbrc/catalogue/NBRCMediumDetailServlet?NO=001534",1534)</f>
        <v>1534</v>
      </c>
      <c r="H221" s="53"/>
      <c r="I221" s="54" t="s">
        <v>215</v>
      </c>
      <c r="J221" s="65" t="str">
        <f>HYPERLINK("mailto:rd@nite.go.jp","コチラにお問い合わせ下さい。")</f>
        <v>コチラにお問い合わせ下さい。</v>
      </c>
    </row>
    <row r="222" spans="1:10" x14ac:dyDescent="0.55000000000000004">
      <c r="A222" s="68" t="s">
        <v>445</v>
      </c>
      <c r="B222" s="3" t="s">
        <v>238</v>
      </c>
      <c r="C222" s="3">
        <v>1</v>
      </c>
      <c r="D222" s="3" t="s">
        <v>95</v>
      </c>
      <c r="E222" s="3" t="s">
        <v>102</v>
      </c>
      <c r="F222" s="31" t="s">
        <v>83</v>
      </c>
      <c r="G222" s="39">
        <f>HYPERLINK("https://www.nite.go.jp/nbrc/catalogue/NBRCMediumDetailServlet?NO=001534",1534)</f>
        <v>1534</v>
      </c>
      <c r="H222" s="39"/>
      <c r="I222" s="31" t="s">
        <v>215</v>
      </c>
      <c r="J222" s="66" t="str">
        <f>HYPERLINK("https://www.nite.go.jp/nbrc/dbrp/dataview?dataId=ANGE0000500031311","ダウンロード")</f>
        <v>ダウンロード</v>
      </c>
    </row>
    <row r="223" spans="1:10" x14ac:dyDescent="0.55000000000000004">
      <c r="A223" s="64" t="s">
        <v>427</v>
      </c>
      <c r="B223" s="51" t="s">
        <v>446</v>
      </c>
      <c r="C223" s="51" t="s">
        <v>251</v>
      </c>
      <c r="D223" s="52" t="s">
        <v>95</v>
      </c>
      <c r="E223" s="52" t="s">
        <v>115</v>
      </c>
      <c r="F223" s="52" t="s">
        <v>83</v>
      </c>
      <c r="G223" s="53">
        <f>HYPERLINK("https://www.nite.go.jp/nbrc/catalogue/NBRCMediumDetailServlet?NO=001574",1574)</f>
        <v>1574</v>
      </c>
      <c r="H223" s="53"/>
      <c r="I223" s="54" t="s">
        <v>215</v>
      </c>
      <c r="J223" s="65" t="str">
        <f>HYPERLINK("mailto:rd@nite.go.jp","コチラにお問い合わせ下さい。")</f>
        <v>コチラにお問い合わせ下さい。</v>
      </c>
    </row>
    <row r="224" spans="1:10" x14ac:dyDescent="0.55000000000000004">
      <c r="A224" s="62" t="s">
        <v>229</v>
      </c>
      <c r="B224" s="13" t="s">
        <v>239</v>
      </c>
      <c r="C224" s="13">
        <v>1</v>
      </c>
      <c r="D224" s="31" t="s">
        <v>95</v>
      </c>
      <c r="E224" s="31" t="s">
        <v>102</v>
      </c>
      <c r="F224" s="31" t="s">
        <v>83</v>
      </c>
      <c r="G224" s="39">
        <f>HYPERLINK("https://www.nite.go.jp/nbrc/catalogue/NBRCMediumDetailServlet?NO=001535",1535)</f>
        <v>1535</v>
      </c>
      <c r="H224" s="39"/>
      <c r="I224" s="36" t="s">
        <v>215</v>
      </c>
      <c r="J224" s="66" t="str">
        <f>HYPERLINK("https://www.nite.go.jp/nbrc/dbrp/dataview?dataId=ANGE0000500031312","ダウンロード")</f>
        <v>ダウンロード</v>
      </c>
    </row>
    <row r="225" spans="1:10" ht="18.5" thickBot="1" x14ac:dyDescent="0.6">
      <c r="A225" s="69" t="s">
        <v>360</v>
      </c>
      <c r="B225" s="70" t="s">
        <v>447</v>
      </c>
      <c r="C225" s="70" t="s">
        <v>254</v>
      </c>
      <c r="D225" s="71" t="s">
        <v>222</v>
      </c>
      <c r="E225" s="71" t="s">
        <v>115</v>
      </c>
      <c r="F225" s="71" t="s">
        <v>83</v>
      </c>
      <c r="G225" s="72">
        <f>HYPERLINK("https://www.nite.go.jp/nbrc/catalogue/NBRCMediumDetailServlet?NO=001574",1574)</f>
        <v>1574</v>
      </c>
      <c r="H225" s="72"/>
      <c r="I225" s="73" t="s">
        <v>215</v>
      </c>
      <c r="J225" s="74" t="str">
        <f>HYPERLINK("mailto:rd@nite.go.jp","コチラにお問い合わせ下さい。")</f>
        <v>コチラにお問い合わせ下さい。</v>
      </c>
    </row>
  </sheetData>
  <mergeCells count="1">
    <mergeCell ref="A2:I2"/>
  </mergeCells>
  <phoneticPr fontId="1"/>
  <conditionalFormatting sqref="A4:J225">
    <cfRule type="expression" dxfId="0" priority="3">
      <formula>EXACT(LEFT($A4,FIND(" ",$A4)-1),_xlfn.XLOOKUP(RIGHT($B4,6),#REF!,#REF!))=FALSE</formula>
    </cfRule>
  </conditionalFormatting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C413AAF38AE242B748FD1AFBC07E82" ma:contentTypeVersion="16" ma:contentTypeDescription="新しいドキュメントを作成します。" ma:contentTypeScope="" ma:versionID="a24f1ad255b4bc84b6902c5e6700d73a">
  <xsd:schema xmlns:xsd="http://www.w3.org/2001/XMLSchema" xmlns:xs="http://www.w3.org/2001/XMLSchema" xmlns:p="http://schemas.microsoft.com/office/2006/metadata/properties" xmlns:ns2="55d2ebed-7b65-4ff1-801b-ff3b5b227f23" xmlns:ns3="53a0d16e-61ea-4b12-9050-db7af314fa17" targetNamespace="http://schemas.microsoft.com/office/2006/metadata/properties" ma:root="true" ma:fieldsID="f679a534314d065dcb5f01e847d5be34" ns2:_="" ns3:_="">
    <xsd:import namespace="55d2ebed-7b65-4ff1-801b-ff3b5b227f23"/>
    <xsd:import namespace="53a0d16e-61ea-4b12-9050-db7af314fa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ebed-7b65-4ff1-801b-ff3b5b22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4dbf157-9f55-413a-9a10-659458ee37ec}" ma:internalName="TaxCatchAll" ma:showField="CatchAllData" ma:web="55d2ebed-7b65-4ff1-801b-ff3b5b227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0d16e-61ea-4b12-9050-db7af314f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0d16e-61ea-4b12-9050-db7af314fa17">
      <Terms xmlns="http://schemas.microsoft.com/office/infopath/2007/PartnerControls"/>
    </lcf76f155ced4ddcb4097134ff3c332f>
    <TaxCatchAll xmlns="55d2ebed-7b65-4ff1-801b-ff3b5b227f23" xsi:nil="true"/>
  </documentManagement>
</p:properties>
</file>

<file path=customXml/itemProps1.xml><?xml version="1.0" encoding="utf-8"?>
<ds:datastoreItem xmlns:ds="http://schemas.openxmlformats.org/officeDocument/2006/customXml" ds:itemID="{CC49CEEC-0F78-495B-AEB5-3FA8E7A2C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ebed-7b65-4ff1-801b-ff3b5b227f23"/>
    <ds:schemaRef ds:uri="53a0d16e-61ea-4b12-9050-db7af314fa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12F26-BCF7-4918-A47D-10B0D333D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718A8-8D18-4849-8F71-24F076CD5C1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55d2ebed-7b65-4ff1-801b-ff3b5b227f23"/>
    <ds:schemaRef ds:uri="53a0d16e-61ea-4b12-9050-db7af314fa1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NBRC株</vt:lpstr>
      <vt:lpstr>RD 株 </vt:lpstr>
      <vt:lpstr>NBRC株!Print_Area</vt:lpstr>
      <vt:lpstr>'RD 株 '!Print_Area</vt:lpstr>
      <vt:lpstr>NBRC株!Print_Titles</vt:lpstr>
      <vt:lpstr>'RD 株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0x010100B0C413AAF38AE242B748FD1AFBC07E82</vt:lpwstr>
  </property>
  <property fmtid="{D5CDD505-2E9C-101B-9397-08002B2CF9AE}" pid="3" name="MediaServiceImageTags">
    <vt:lpwstr/>
  </property>
</Properties>
</file>